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ynthèse Exécutive" sheetId="1" state="visible" r:id="rId3"/>
    <sheet name="Hypothèses" sheetId="2" state="visible" r:id="rId4"/>
    <sheet name="Budget Acquisition" sheetId="3" state="visible" r:id="rId5"/>
    <sheet name="Plan Financement" sheetId="4" state="visible" r:id="rId6"/>
    <sheet name="Capital SAS" sheetId="5" state="visible" r:id="rId7"/>
    <sheet name="Exploitation P&amp;L" sheetId="6" state="visible" r:id="rId8"/>
    <sheet name="Cash-flow Invest." sheetId="7" state="visible" r:id="rId9"/>
    <sheet name="Scénarios" sheetId="8" state="visible" r:id="rId10"/>
    <sheet name="Sortie Valorisation" sheetId="9" state="visible" r:id="rId11"/>
    <sheet name="Ratios Bancaires" sheetId="10" state="visible" r:id="rId1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<sst xmlns="http://schemas.openxmlformats.org/spreadsheetml/2006/main" count="489" uniqueCount="459">
  <si>
    <t xml:space="preserve">WEST COAST HOSPITALITY</t>
  </si>
  <si>
    <t xml:space="preserve">Modèle Financier · Acquisition Hôtelière · Côte Atlantique / Baie du Mont-Saint-Michel</t>
  </si>
  <si>
    <t xml:space="preserve">Budget 3 M€  ·  Horizon 7 ans  ·  TRI cible 8–12%  ·  SCI (murs) + SAS (exploitation)</t>
  </si>
  <si>
    <t xml:space="preserve">BUDGET &amp; FINANCEMENT</t>
  </si>
  <si>
    <t xml:space="preserve">PRIX DES MURS (SCI)</t>
  </si>
  <si>
    <t xml:space="preserve">FONDS DE COMMERCE (SAS)</t>
  </si>
  <si>
    <t xml:space="preserve">BUDGET TOTAL</t>
  </si>
  <si>
    <t xml:space="preserve">Actif SCI</t>
  </si>
  <si>
    <t xml:space="preserve">Actif SAS</t>
  </si>
  <si>
    <t xml:space="preserve">Toutes composantes</t>
  </si>
  <si>
    <t xml:space="preserve">APPORT TOTAL</t>
  </si>
  <si>
    <t xml:space="preserve">DETTE BANCAIRE</t>
  </si>
  <si>
    <t xml:space="preserve">LTV GLOBAL</t>
  </si>
  <si>
    <t xml:space="preserve">Investisseurs + fondateurs</t>
  </si>
  <si>
    <t xml:space="preserve">SCI + SAS</t>
  </si>
  <si>
    <t xml:space="preserve">Loan-to-Value</t>
  </si>
  <si>
    <t xml:space="preserve">PERFORMANCE INVESTISSEUR</t>
  </si>
  <si>
    <t xml:space="preserve">TRI (7 ANS)</t>
  </si>
  <si>
    <t xml:space="preserve">MULTIPLE (×)</t>
  </si>
  <si>
    <t xml:space="preserve">VALEUR NETTE SORTIE</t>
  </si>
  <si>
    <t xml:space="preserve">Taux Rendement Interne</t>
  </si>
  <si>
    <t xml:space="preserve">× mise initiale</t>
  </si>
  <si>
    <t xml:space="preserve">Scénario central An 7</t>
  </si>
  <si>
    <t xml:space="preserve">EBITDA AN 1</t>
  </si>
  <si>
    <t xml:space="preserve">EBITDA AN 7</t>
  </si>
  <si>
    <t xml:space="preserve">DSCR AN 1</t>
  </si>
  <si>
    <t xml:space="preserve">Scénario central</t>
  </si>
  <si>
    <t xml:space="preserve">Après montée en gamme</t>
  </si>
  <si>
    <t xml:space="preserve">Couverture service dette</t>
  </si>
  <si>
    <t xml:space="preserve">DESCRIPTION DU PROJET</t>
  </si>
  <si>
    <t xml:space="preserve">Type d'actif</t>
  </si>
  <si>
    <t xml:space="preserve">Hôtel 3★ ou boutique hôtel — façade atlantique / Baie du Mont-Saint-Michel</t>
  </si>
  <si>
    <t xml:space="preserve">Structure juridique</t>
  </si>
  <si>
    <t xml:space="preserve">SCI (détention des murs) + SAS (exploitation hôtelière)</t>
  </si>
  <si>
    <t xml:space="preserve">Nb de chambres cible</t>
  </si>
  <si>
    <t xml:space="preserve">35 chambres — modifiable dans l'onglet Hypothèses</t>
  </si>
  <si>
    <t xml:space="preserve">Stratégie</t>
  </si>
  <si>
    <t xml:space="preserve">Repositionnement · Revenue Management · Désaisonnalisation</t>
  </si>
  <si>
    <t xml:space="preserve">Horizon / sortie</t>
  </si>
  <si>
    <t xml:space="preserve">7 ans — cession ou refinancement</t>
  </si>
  <si>
    <t xml:space="preserve">Fondateurs</t>
  </si>
  <si>
    <t xml:space="preserve">Julien Bossard (DG) &amp; Thibault Prat (Ops) — 100% opérationnels</t>
  </si>
  <si>
    <t xml:space="preserve">Investisseurs</t>
  </si>
  <si>
    <t xml:space="preserve">Jusqu'à 30% capital SAS · Jusqu'à 100% capital SCI</t>
  </si>
  <si>
    <t xml:space="preserve">GUIDE DES ONGLETS</t>
  </si>
  <si>
    <t xml:space="preserve">⚙  Hypothèses</t>
  </si>
  <si>
    <t xml:space="preserve">Toutes les hypothèses modifiables — point d'entrée du modèle</t>
  </si>
  <si>
    <t xml:space="preserve">🏨  Budget Acquisition</t>
  </si>
  <si>
    <t xml:space="preserve">Décomposition du budget d'acquisition total</t>
  </si>
  <si>
    <t xml:space="preserve">🏦  Plan Financement</t>
  </si>
  <si>
    <t xml:space="preserve">Structure dette / FP + tableau d'amortissement SCI</t>
  </si>
  <si>
    <t xml:space="preserve">📊  Capital SAS</t>
  </si>
  <si>
    <t xml:space="preserve">Répartition capital · Gouvernance · Pacte d'actionnaires</t>
  </si>
  <si>
    <t xml:space="preserve">📈  Exploitation P&amp;L</t>
  </si>
  <si>
    <t xml:space="preserve">P&amp;L prévisionnel 7 ans — scénario central</t>
  </si>
  <si>
    <t xml:space="preserve">💰  Cash-flow Invest.</t>
  </si>
  <si>
    <t xml:space="preserve">Flux investisseur · TRI · Multiple</t>
  </si>
  <si>
    <t xml:space="preserve">🎯  Scénarios</t>
  </si>
  <si>
    <t xml:space="preserve">Comparatif 3 scénarios + table de sensibilité EBITDA</t>
  </si>
  <si>
    <t xml:space="preserve">🏁  Sortie Valorisation</t>
  </si>
  <si>
    <t xml:space="preserve">Valorisation sortie par multiple EBITDA — 3 scénarios</t>
  </si>
  <si>
    <t xml:space="preserve">📋  Ratios Bancaires</t>
  </si>
  <si>
    <t xml:space="preserve">DSCR · LTV · Point mort · Rendement · TRI</t>
  </si>
  <si>
    <t xml:space="preserve">WEST COAST HOSPITALITY — HYPOTHÈSES GÉNÉRALES</t>
  </si>
  <si>
    <t xml:space="preserve">  Cellules bleues = valeurs modifiables  |  Noir = formules  |  Vert = liens inter-onglets</t>
  </si>
  <si>
    <t xml:space="preserve">PROJET &amp; PÉRIMÈTRE</t>
  </si>
  <si>
    <t xml:space="preserve">Nombre de chambres</t>
  </si>
  <si>
    <t xml:space="preserve">Hôtel 3★ / boutique — Côte Atlantique</t>
  </si>
  <si>
    <t xml:space="preserve">Travaux de rénovation (€)</t>
  </si>
  <si>
    <t xml:space="preserve">À préciser selon état du bien</t>
  </si>
  <si>
    <t xml:space="preserve">Trésorerie initiale / BFR (€)</t>
  </si>
  <si>
    <t xml:space="preserve">3–6 mois de charges fixes</t>
  </si>
  <si>
    <t xml:space="preserve">Année de départ</t>
  </si>
  <si>
    <t xml:space="preserve">Exercice 1</t>
  </si>
  <si>
    <t xml:space="preserve">REVENUS — HÉBERGEMENT</t>
  </si>
  <si>
    <t xml:space="preserve">Taux d'occupation — Année 1</t>
  </si>
  <si>
    <t xml:space="preserve">Hypothèse démarrage conservatrice</t>
  </si>
  <si>
    <t xml:space="preserve">Croissance TO annuelle</t>
  </si>
  <si>
    <t xml:space="preserve">+1,5 pt/an — montée en gamme</t>
  </si>
  <si>
    <t xml:space="preserve">ADR moyen HT — Année 1 (€/nuit)</t>
  </si>
  <si>
    <t xml:space="preserve">Average Daily Rate hors taxes</t>
  </si>
  <si>
    <t xml:space="preserve">Croissance ADR annuelle</t>
  </si>
  <si>
    <t xml:space="preserve">Indexation + repositionnement</t>
  </si>
  <si>
    <t xml:space="preserve">Taux de prise petit-déjeuner</t>
  </si>
  <si>
    <t xml:space="preserve">Part résidents prenant le PDJ</t>
  </si>
  <si>
    <t xml:space="preserve">Prix PDJ moyen HT (€)</t>
  </si>
  <si>
    <t xml:space="preserve">CA Annexes — % CA hébergement</t>
  </si>
  <si>
    <t xml:space="preserve">Bar, séminaires, événements</t>
  </si>
  <si>
    <t xml:space="preserve">CHARGES D'EXPLOITATION</t>
  </si>
  <si>
    <t xml:space="preserve">Masse salariale — Année 1 (€)</t>
  </si>
  <si>
    <t xml:space="preserve">11 ETP — voir détail ci-dessous</t>
  </si>
  <si>
    <t xml:space="preserve">Inflation charges annuelle</t>
  </si>
  <si>
    <t xml:space="preserve">Indexation salaires + charges fixes</t>
  </si>
  <si>
    <t xml:space="preserve">Commission OTA (% CA héberg.)</t>
  </si>
  <si>
    <t xml:space="preserve">Booking/Expedia — ~40% du mix</t>
  </si>
  <si>
    <t xml:space="preserve">Blanchisserie (% CA héberg.)</t>
  </si>
  <si>
    <t xml:space="preserve">Énergie &amp; télécom (% CA héberg.)</t>
  </si>
  <si>
    <t xml:space="preserve">Pub &amp; marketing — An 1 (€)</t>
  </si>
  <si>
    <t xml:space="preserve">Budget promotionnel</t>
  </si>
  <si>
    <t xml:space="preserve">Amortissements matériels (€/an)</t>
  </si>
  <si>
    <t xml:space="preserve">Mobilier, équipements</t>
  </si>
  <si>
    <t xml:space="preserve">Frais divers &amp; admin — An 1 (€)</t>
  </si>
  <si>
    <t xml:space="preserve">+500 € / an</t>
  </si>
  <si>
    <t xml:space="preserve">Coût achat PDJ (% CA PDJ)</t>
  </si>
  <si>
    <t xml:space="preserve">Coût matière</t>
  </si>
  <si>
    <t xml:space="preserve">Loyer SCI (% CA SAS)</t>
  </si>
  <si>
    <t xml:space="preserve">Loyer payé par SAS à SCI</t>
  </si>
  <si>
    <t xml:space="preserve">FINANCEMENT SCI (MURS)</t>
  </si>
  <si>
    <t xml:space="preserve">Prix des murs (€)</t>
  </si>
  <si>
    <t xml:space="preserve">Actif immobilier — porté par SCI</t>
  </si>
  <si>
    <t xml:space="preserve">LTV SCI (% valeur murs)</t>
  </si>
  <si>
    <t xml:space="preserve">Levier bancaire — 73,25%</t>
  </si>
  <si>
    <t xml:space="preserve">Taux d'emprunt SCI</t>
  </si>
  <si>
    <t xml:space="preserve">Taux fixe — scénario central</t>
  </si>
  <si>
    <t xml:space="preserve">Durée emprunt SCI (ans)</t>
  </si>
  <si>
    <t xml:space="preserve">FINANCEMENT SAS (EXPLOITATION)</t>
  </si>
  <si>
    <t xml:space="preserve">Budget SAS — fonds + travaux (€)</t>
  </si>
  <si>
    <t xml:space="preserve">Fonds de commerce + équipements</t>
  </si>
  <si>
    <t xml:space="preserve">LTV SAS (% budget SAS)</t>
  </si>
  <si>
    <t xml:space="preserve">Taux d'emprunt SAS</t>
  </si>
  <si>
    <t xml:space="preserve">Taux exploitation — plus élevé</t>
  </si>
  <si>
    <t xml:space="preserve">Durée emprunt SAS (ans)</t>
  </si>
  <si>
    <t xml:space="preserve">Aligné sur l'horizon projet</t>
  </si>
  <si>
    <t xml:space="preserve">SORTIE &amp; VALORISATION</t>
  </si>
  <si>
    <t xml:space="preserve">Horizon de sortie (ans)</t>
  </si>
  <si>
    <t xml:space="preserve">Cession ou refinancement</t>
  </si>
  <si>
    <t xml:space="preserve">Multiple EBITDA — Conservateur</t>
  </si>
  <si>
    <t xml:space="preserve">Multiple EBITDA — Central</t>
  </si>
  <si>
    <t xml:space="preserve">Multiple EBITDA — Optimiste</t>
  </si>
  <si>
    <t xml:space="preserve">Coûts de cession (% prix vente)</t>
  </si>
  <si>
    <t xml:space="preserve">Frais notaire + honoraires</t>
  </si>
  <si>
    <t xml:space="preserve">DÉTAIL PERSONNEL — MASSE SALARIALE AN 1</t>
  </si>
  <si>
    <t xml:space="preserve">Poste</t>
  </si>
  <si>
    <t xml:space="preserve">ETP</t>
  </si>
  <si>
    <t xml:space="preserve">Coût total chargé (€)</t>
  </si>
  <si>
    <t xml:space="preserve">Manager 1 (Directeur Général)</t>
  </si>
  <si>
    <t xml:space="preserve">Manager 2 (Directeur Opérations)</t>
  </si>
  <si>
    <t xml:space="preserve">Assistant Direction</t>
  </si>
  <si>
    <t xml:space="preserve">Réceptionnistes</t>
  </si>
  <si>
    <t xml:space="preserve">Réceptionniste mi-temps</t>
  </si>
  <si>
    <t xml:space="preserve">Commis F&amp;B</t>
  </si>
  <si>
    <t xml:space="preserve">Gouvernante Générale</t>
  </si>
  <si>
    <t xml:space="preserve">Femme de chambre</t>
  </si>
  <si>
    <t xml:space="preserve">Technicien</t>
  </si>
  <si>
    <t xml:space="preserve">TOTAL MASSE SALARIALE</t>
  </si>
  <si>
    <t xml:space="preserve">BUDGET D'ACQUISITION DÉTAILLÉ</t>
  </si>
  <si>
    <t xml:space="preserve">COMPOSANTES DU PRIX D'ACQUISITION</t>
  </si>
  <si>
    <t xml:space="preserve">Prix des murs (SCI)</t>
  </si>
  <si>
    <t xml:space="preserve">Fonds de commerce — exploitation (SAS)</t>
  </si>
  <si>
    <t xml:space="preserve">Travaux de rénovation / montée en gamme</t>
  </si>
  <si>
    <t xml:space="preserve">FRAIS ANNEXES</t>
  </si>
  <si>
    <t xml:space="preserve">Frais de notaire murs (~8%)</t>
  </si>
  <si>
    <t xml:space="preserve">Honoraires acquisition / conseil</t>
  </si>
  <si>
    <t xml:space="preserve">Frais de dossier bancaire</t>
  </si>
  <si>
    <t xml:space="preserve">Mobilier, équipements, signalétique</t>
  </si>
  <si>
    <t xml:space="preserve">Trésorerie initiale / BFR</t>
  </si>
  <si>
    <t xml:space="preserve">Imprévus &amp; divers (2% acquisition)</t>
  </si>
  <si>
    <t xml:space="preserve">RÉCAPITULATIF</t>
  </si>
  <si>
    <t xml:space="preserve">Sous-total Acquisition</t>
  </si>
  <si>
    <t xml:space="preserve">Sous-total Frais annexes</t>
  </si>
  <si>
    <t xml:space="preserve">BUDGET TOTAL PROJET</t>
  </si>
  <si>
    <t xml:space="preserve">RÉPARTITION PAR ENTITÉ</t>
  </si>
  <si>
    <t xml:space="preserve">Entité</t>
  </si>
  <si>
    <t xml:space="preserve">Montant (€)</t>
  </si>
  <si>
    <t xml:space="preserve">% Budget</t>
  </si>
  <si>
    <t xml:space="preserve">Financement</t>
  </si>
  <si>
    <t xml:space="preserve">SCI — Murs</t>
  </si>
  <si>
    <t xml:space="preserve">Emprunt 73% + Apport 27%</t>
  </si>
  <si>
    <t xml:space="preserve">SAS — Exploitation</t>
  </si>
  <si>
    <t xml:space="preserve">Emprunt 70% + Capital + CCA</t>
  </si>
  <si>
    <t xml:space="preserve">Frais annexes</t>
  </si>
  <si>
    <t xml:space="preserve">Fonds propres</t>
  </si>
  <si>
    <t xml:space="preserve">PLAN DE FINANCEMENT — SCI + SAS</t>
  </si>
  <si>
    <t xml:space="preserve">STRUCTURE DU FINANCEMENT</t>
  </si>
  <si>
    <t xml:space="preserve">Taux</t>
  </si>
  <si>
    <t xml:space="preserve">Durée</t>
  </si>
  <si>
    <t xml:space="preserve">Annuité</t>
  </si>
  <si>
    <t xml:space="preserve">APPORTS EN FONDS PROPRES</t>
  </si>
  <si>
    <t xml:space="preserve">Apport investisseurs — Capital SCI</t>
  </si>
  <si>
    <t xml:space="preserve">Apport investisseurs — Capital SAS + CCA</t>
  </si>
  <si>
    <t xml:space="preserve">Apport fondateurs (Julien + Thibault)</t>
  </si>
  <si>
    <t xml:space="preserve">TOTAL APPORTS</t>
  </si>
  <si>
    <t xml:space="preserve">FINANCEMENT PAR EMPRUNT</t>
  </si>
  <si>
    <t xml:space="preserve">Emprunt SCI (murs)</t>
  </si>
  <si>
    <t xml:space="preserve">Emprunt SAS (exploitation)</t>
  </si>
  <si>
    <t xml:space="preserve">DETTE BANCAIRE TOTALE</t>
  </si>
  <si>
    <t xml:space="preserve">RATIOS CLÉS DE FINANCEMENT</t>
  </si>
  <si>
    <t xml:space="preserve">LTV SCI</t>
  </si>
  <si>
    <t xml:space="preserve">LTV SAS</t>
  </si>
  <si>
    <t xml:space="preserve">LTV Global</t>
  </si>
  <si>
    <t xml:space="preserve">Ratio Apport / Budget</t>
  </si>
  <si>
    <t xml:space="preserve">TABLEAU D'AMORTISSEMENT SCI — 25 ANS (7 premières années surlignées)</t>
  </si>
  <si>
    <t xml:space="preserve">Année</t>
  </si>
  <si>
    <t xml:space="preserve">Capital début</t>
  </si>
  <si>
    <t xml:space="preserve">Intérêts</t>
  </si>
  <si>
    <t xml:space="preserve">Amortissement</t>
  </si>
  <si>
    <t xml:space="preserve">Capital fin</t>
  </si>
  <si>
    <t xml:space="preserve">TOTAL</t>
  </si>
  <si>
    <t xml:space="preserve">CAPITAL &amp; STRUCTURE DE LA SAS</t>
  </si>
  <si>
    <t xml:space="preserve">Structure de gouvernance · Répartition · Pacte d'actionnaires · Dividendes · Mécanisme BSA</t>
  </si>
  <si>
    <t xml:space="preserve">TABLEAU DE RÉPARTITION DU CAPITAL</t>
  </si>
  <si>
    <t xml:space="preserve">Actionnaire</t>
  </si>
  <si>
    <t xml:space="preserve">Rôle</t>
  </si>
  <si>
    <t xml:space="preserve">Capital
Création (€)</t>
  </si>
  <si>
    <t xml:space="preserve">% Créa</t>
  </si>
  <si>
    <t xml:space="preserve">Apport
Augm. (€)</t>
  </si>
  <si>
    <t xml:space="preserve">% Post-aug</t>
  </si>
  <si>
    <t xml:space="preserve">CCA (€)</t>
  </si>
  <si>
    <t xml:space="preserve">Rémun.CCA
(5a,3%)</t>
  </si>
  <si>
    <t xml:space="preserve">Invest.
Total (€)</t>
  </si>
  <si>
    <t xml:space="preserve">TRI estimé</t>
  </si>
  <si>
    <t xml:space="preserve">Julien Bossard</t>
  </si>
  <si>
    <t xml:space="preserve">Co-fondateur / DG</t>
  </si>
  <si>
    <t xml:space="preserve">→ onglet Cash-flow</t>
  </si>
  <si>
    <t xml:space="preserve">Thibault Prat</t>
  </si>
  <si>
    <t xml:space="preserve">Co-fondateur / Dir.Ops</t>
  </si>
  <si>
    <t xml:space="preserve">Investisseur 1</t>
  </si>
  <si>
    <t xml:space="preserve">Investisseur financier</t>
  </si>
  <si>
    <t xml:space="preserve">Investisseur 2</t>
  </si>
  <si>
    <t xml:space="preserve">Investisseur 3</t>
  </si>
  <si>
    <t xml:space="preserve">Investisseur 4</t>
  </si>
  <si>
    <t xml:space="preserve">À définir</t>
  </si>
  <si>
    <t xml:space="preserve">VALORISATION POST-MONEY &amp; PRIME D'ÉMISSION</t>
  </si>
  <si>
    <t xml:space="preserve">Prix d'action à la création (€)</t>
  </si>
  <si>
    <t xml:space="preserve">Prix d'action post-augmentation (€)</t>
  </si>
  <si>
    <t xml:space="preserve">Prime d'émission par action (€)</t>
  </si>
  <si>
    <t xml:space="preserve">Valorisation pre-money (€)</t>
  </si>
  <si>
    <t xml:space="preserve">Valorisation post-money estimée (€)</t>
  </si>
  <si>
    <t xml:space="preserve">Valorisation projetée à la sortie (€)</t>
  </si>
  <si>
    <t xml:space="preserve">GOUVERNANCE &amp; PACTE D'ACTIONNAIRES</t>
  </si>
  <si>
    <t xml:space="preserve">Président / DG</t>
  </si>
  <si>
    <t xml:space="preserve">Julien Bossard — opérationnel à 100%</t>
  </si>
  <si>
    <t xml:space="preserve">DG Délégué</t>
  </si>
  <si>
    <t xml:space="preserve">Thibault Prat — Opérations &amp; Revenue Management</t>
  </si>
  <si>
    <t xml:space="preserve">Décisions ordinaires</t>
  </si>
  <si>
    <t xml:space="preserve">&gt;50% des parts — majorité simple</t>
  </si>
  <si>
    <t xml:space="preserve">Décisions extraordinaires</t>
  </si>
  <si>
    <t xml:space="preserve">&gt;66,7% — cession, augment. capital, fusion</t>
  </si>
  <si>
    <t xml:space="preserve">Droit de préemption</t>
  </si>
  <si>
    <t xml:space="preserve">Droit prioritaire en cas de cession de parts entre associés</t>
  </si>
  <si>
    <t xml:space="preserve">Tag-along</t>
  </si>
  <si>
    <t xml:space="preserve">Tout actionnaire peut rejoindre une cession majoritaire aux mêmes conditions</t>
  </si>
  <si>
    <t xml:space="preserve">Drag-along</t>
  </si>
  <si>
    <t xml:space="preserve">&gt;66,7% peut imposer la cession à l'ensemble des associés</t>
  </si>
  <si>
    <t xml:space="preserve">Lock-up fondateurs</t>
  </si>
  <si>
    <t xml:space="preserve">3 ans minimum — dérogation avec accord unanime investisseurs</t>
  </si>
  <si>
    <t xml:space="preserve">BSA Management</t>
  </si>
  <si>
    <t xml:space="preserve">Bons de souscription si TRI &gt; 10% — à structurer au closing</t>
  </si>
  <si>
    <t xml:space="preserve">Dividendes</t>
  </si>
  <si>
    <t xml:space="preserve">Distribution possible dès An3 — après réserve légale + accord gérance</t>
  </si>
  <si>
    <t xml:space="preserve">Reporting</t>
  </si>
  <si>
    <t xml:space="preserve">Comptes trimestriels + bilan audité annuel + comité stratégique biannuel</t>
  </si>
  <si>
    <t xml:space="preserve">Valorisation annuelle</t>
  </si>
  <si>
    <t xml:space="preserve">Multiple EBITDA révisé annuellement (fondateurs + 1 investisseur référent)</t>
  </si>
  <si>
    <t xml:space="preserve">HOLDING PATRIMONIALE (OPTIONNEL — À ÉTUDIER AVEC CONSEILS)</t>
  </si>
  <si>
    <t xml:space="preserve">  • Détenir SCI + SAS via une holding patrimoniale (SARL ou SAS Holding)</t>
  </si>
  <si>
    <t xml:space="preserve">  • Avantage fiscal : régime mère-fille — dividendes remontés exonérés à 95% d'IS</t>
  </si>
  <si>
    <t xml:space="preserve">  • Avantage patrimonial : étanchéité des risques opérationnels entre entités</t>
  </si>
  <si>
    <t xml:space="preserve">  • Transmission : Pacte Dutreil si TRI démontré — abattement 75% droits de mutation</t>
  </si>
  <si>
    <t xml:space="preserve">  • ⚠  À structurer avec expert-comptable et avocat fiscaliste selon situation personnelle</t>
  </si>
  <si>
    <t xml:space="preserve">PROJECTION D'EXPLOITATION — P&amp;L SCÉNARIO CENTRAL — 7 ANS</t>
  </si>
  <si>
    <t xml:space="preserve">LIGNE DE COMPTE</t>
  </si>
  <si>
    <t xml:space="preserve">Année 1</t>
  </si>
  <si>
    <t xml:space="preserve">Année 2</t>
  </si>
  <si>
    <t xml:space="preserve">Année 3</t>
  </si>
  <si>
    <t xml:space="preserve">Année 4</t>
  </si>
  <si>
    <t xml:space="preserve">Année 5</t>
  </si>
  <si>
    <t xml:space="preserve">Année 6</t>
  </si>
  <si>
    <t xml:space="preserve">Année 7</t>
  </si>
  <si>
    <t xml:space="preserve">PARAMÈTRES OPÉRATIONNELS</t>
  </si>
  <si>
    <t xml:space="preserve">Taux d'occupation (%)</t>
  </si>
  <si>
    <t xml:space="preserve">ADR moyen HT (€/nuit)</t>
  </si>
  <si>
    <t xml:space="preserve">Nuitées totales (365j)</t>
  </si>
  <si>
    <t xml:space="preserve">RevPAR HT (€)</t>
  </si>
  <si>
    <t xml:space="preserve">REVENUS</t>
  </si>
  <si>
    <t xml:space="preserve">CA Hébergement HT</t>
  </si>
  <si>
    <t xml:space="preserve">    CA Petits-déjeuners</t>
  </si>
  <si>
    <t xml:space="preserve">    CA Annexes (bar, séminaires...)</t>
  </si>
  <si>
    <t xml:space="preserve">CA TOTAL</t>
  </si>
  <si>
    <t xml:space="preserve">Masse salariale</t>
  </si>
  <si>
    <t xml:space="preserve">Loyer SCI (15% CA)</t>
  </si>
  <si>
    <t xml:space="preserve">Commissions OTA</t>
  </si>
  <si>
    <t xml:space="preserve">Coût achat petits-déjeuners</t>
  </si>
  <si>
    <t xml:space="preserve">Blanchisserie</t>
  </si>
  <si>
    <t xml:space="preserve">Énergie &amp; télécom</t>
  </si>
  <si>
    <t xml:space="preserve">Pub &amp; marketing</t>
  </si>
  <si>
    <t xml:space="preserve">Amortissements</t>
  </si>
  <si>
    <t xml:space="preserve">Frais divers &amp; admin</t>
  </si>
  <si>
    <t xml:space="preserve">CHARGES TOTALES</t>
  </si>
  <si>
    <t xml:space="preserve">RÉSULTATS</t>
  </si>
  <si>
    <t xml:space="preserve">EBITDA (avant amortissements)</t>
  </si>
  <si>
    <t xml:space="preserve">    Marge EBITDA (%)</t>
  </si>
  <si>
    <t xml:space="preserve">RÉSULTAT NET (après amortissements)</t>
  </si>
  <si>
    <t xml:space="preserve">    Annuité emprunt SAS</t>
  </si>
  <si>
    <t xml:space="preserve">Résultat après service de la dette</t>
  </si>
  <si>
    <t xml:space="preserve">CASH-FLOW INVESTISSEUR — TRI &amp; MULTIPLE SUR 7 ANS</t>
  </si>
  <si>
    <t xml:space="preserve">FLUX</t>
  </si>
  <si>
    <t xml:space="preserve">An 0
(Invest.)</t>
  </si>
  <si>
    <t xml:space="preserve">An 1</t>
  </si>
  <si>
    <t xml:space="preserve">An 2</t>
  </si>
  <si>
    <t xml:space="preserve">An 3</t>
  </si>
  <si>
    <t xml:space="preserve">An 4</t>
  </si>
  <si>
    <t xml:space="preserve">An 5</t>
  </si>
  <si>
    <t xml:space="preserve">An 6</t>
  </si>
  <si>
    <t xml:space="preserve">An 7</t>
  </si>
  <si>
    <t xml:space="preserve">INVESTISSEMENT INITIAL (ANNÉE 0)</t>
  </si>
  <si>
    <t xml:space="preserve">Mise de fonds — Capital + CCA investisseurs</t>
  </si>
  <si>
    <t xml:space="preserve">FLUX OPÉRATIONNELS</t>
  </si>
  <si>
    <t xml:space="preserve">EBITDA (SAS)</t>
  </si>
  <si>
    <t xml:space="preserve">Annuité emprunt SCI (remboursement)</t>
  </si>
  <si>
    <t xml:space="preserve">Annuité emprunt SAS (remboursement)</t>
  </si>
  <si>
    <t xml:space="preserve">Distributions / dividendes SAS (dès An 3)</t>
  </si>
  <si>
    <t xml:space="preserve">Produit de cession (An 7)</t>
  </si>
  <si>
    <t xml:space="preserve">CASH-FLOW NET</t>
  </si>
  <si>
    <t xml:space="preserve">INDICATEURS DE RENDEMENT</t>
  </si>
  <si>
    <t xml:space="preserve">TRI — Taux de Rendement Interne (7 ans)</t>
  </si>
  <si>
    <t xml:space="preserve">Investissement total (mise de fonds)</t>
  </si>
  <si>
    <t xml:space="preserve">Total flux encaissés sur 7 ans</t>
  </si>
  <si>
    <t xml:space="preserve">MULTIPLE INVESTISSEUR (×)</t>
  </si>
  <si>
    <t xml:space="preserve">SCÉNARIOS COMPARATIFS — CONSERVATEUR / CENTRAL / OPTIMISTE</t>
  </si>
  <si>
    <t xml:space="preserve">CONSERVATEUR</t>
  </si>
  <si>
    <t xml:space="preserve">CENTRAL</t>
  </si>
  <si>
    <t xml:space="preserve">OPTIMISTE</t>
  </si>
  <si>
    <t xml:space="preserve">HYPOTHÈSES PAR SCÉNARIO</t>
  </si>
  <si>
    <t xml:space="preserve">TO Année 1</t>
  </si>
  <si>
    <t xml:space="preserve">58,0%</t>
  </si>
  <si>
    <t xml:space="preserve">60,0%</t>
  </si>
  <si>
    <t xml:space="preserve">63,0%</t>
  </si>
  <si>
    <t xml:space="preserve">TO Année 7 (estimé)</t>
  </si>
  <si>
    <t xml:space="preserve">67,0%</t>
  </si>
  <si>
    <t xml:space="preserve">71,0%</t>
  </si>
  <si>
    <t xml:space="preserve">75,0%</t>
  </si>
  <si>
    <t xml:space="preserve">ADR Année 1 (€/nuit)</t>
  </si>
  <si>
    <t xml:space="preserve">88 €</t>
  </si>
  <si>
    <t xml:space="preserve">92 €</t>
  </si>
  <si>
    <t xml:space="preserve">100 €</t>
  </si>
  <si>
    <t xml:space="preserve">ADR Année 7 (€/nuit)</t>
  </si>
  <si>
    <t xml:space="preserve">96 €</t>
  </si>
  <si>
    <t xml:space="preserve">105 €</t>
  </si>
  <si>
    <t xml:space="preserve">120 €</t>
  </si>
  <si>
    <t xml:space="preserve">Croissance ADR / an</t>
  </si>
  <si>
    <t xml:space="preserve">1,0%</t>
  </si>
  <si>
    <t xml:space="preserve">1,5%</t>
  </si>
  <si>
    <t xml:space="preserve">2,5%</t>
  </si>
  <si>
    <t xml:space="preserve">Masse salariale An 1</t>
  </si>
  <si>
    <t xml:space="preserve">369 K€</t>
  </si>
  <si>
    <t xml:space="preserve">385 K€</t>
  </si>
  <si>
    <t xml:space="preserve">Taux SCI</t>
  </si>
  <si>
    <t xml:space="preserve">4,0%</t>
  </si>
  <si>
    <t xml:space="preserve">3,5%</t>
  </si>
  <si>
    <t xml:space="preserve">3,0%</t>
  </si>
  <si>
    <t xml:space="preserve">Multiple EBITDA sortie</t>
  </si>
  <si>
    <t xml:space="preserve">5,5×</t>
  </si>
  <si>
    <t xml:space="preserve">6,5×</t>
  </si>
  <si>
    <t xml:space="preserve">7,5×</t>
  </si>
  <si>
    <t xml:space="preserve">RÉSULTATS PROJETÉS — ANNÉE 7</t>
  </si>
  <si>
    <t xml:space="preserve">CA Total An 7 (estimé)</t>
  </si>
  <si>
    <t xml:space="preserve">960 K€</t>
  </si>
  <si>
    <t xml:space="preserve">1 150 K€</t>
  </si>
  <si>
    <t xml:space="preserve">1 400 K€</t>
  </si>
  <si>
    <t xml:space="preserve">EBITDA An 7</t>
  </si>
  <si>
    <t xml:space="preserve">150 K€</t>
  </si>
  <si>
    <t xml:space="preserve">240 K€</t>
  </si>
  <si>
    <t xml:space="preserve">350 K€</t>
  </si>
  <si>
    <t xml:space="preserve">Marge EBITDA An 7</t>
  </si>
  <si>
    <t xml:space="preserve">15,6%</t>
  </si>
  <si>
    <t xml:space="preserve">20,9%</t>
  </si>
  <si>
    <t xml:space="preserve">25,0%</t>
  </si>
  <si>
    <t xml:space="preserve">Valeur d'entreprise (EV)</t>
  </si>
  <si>
    <t xml:space="preserve">825 K€</t>
  </si>
  <si>
    <t xml:space="preserve">1 560 K€</t>
  </si>
  <si>
    <t xml:space="preserve">2 625 K€</t>
  </si>
  <si>
    <t xml:space="preserve">Remboursement dette résid.</t>
  </si>
  <si>
    <t xml:space="preserve">~1 100 K€</t>
  </si>
  <si>
    <t xml:space="preserve">Valeur nette actionnaires</t>
  </si>
  <si>
    <t xml:space="preserve">&lt; 300 K€</t>
  </si>
  <si>
    <t xml:space="preserve">460 K€</t>
  </si>
  <si>
    <t xml:space="preserve">1 500 K€+</t>
  </si>
  <si>
    <t xml:space="preserve">4–6%</t>
  </si>
  <si>
    <t xml:space="preserve">8–10%</t>
  </si>
  <si>
    <t xml:space="preserve">12–15%</t>
  </si>
  <si>
    <t xml:space="preserve">Multiple investisseur (×)</t>
  </si>
  <si>
    <t xml:space="preserve">0,9–1,1×</t>
  </si>
  <si>
    <t xml:space="preserve">1,3–1,6×</t>
  </si>
  <si>
    <t xml:space="preserve">1,8–2,2×</t>
  </si>
  <si>
    <t xml:space="preserve">TABLE DE SENSIBILITÉ — EBITDA ANNÉE 3 (€)</t>
  </si>
  <si>
    <t xml:space="preserve">TO \ ADR</t>
  </si>
  <si>
    <t xml:space="preserve">82 €</t>
  </si>
  <si>
    <t xml:space="preserve">102 €</t>
  </si>
  <si>
    <t xml:space="preserve">55%</t>
  </si>
  <si>
    <t xml:space="preserve">58%</t>
  </si>
  <si>
    <t xml:space="preserve">60%</t>
  </si>
  <si>
    <t xml:space="preserve">63%</t>
  </si>
  <si>
    <t xml:space="preserve">67%</t>
  </si>
  <si>
    <t xml:space="preserve">SORTIE &amp; VALORISATION — HORIZON 7 ANS</t>
  </si>
  <si>
    <t xml:space="preserve">VALORISATION PAR MULTIPLE EBITDA</t>
  </si>
  <si>
    <t xml:space="preserve">EBITDA Année 7 (scénario ×0.85 / ×1 / ×1.15)</t>
  </si>
  <si>
    <t xml:space="preserve">Multiple EBITDA de sortie (×)</t>
  </si>
  <si>
    <t xml:space="preserve">Valeur d'entreprise (EV = EBITDA × Multiple)</t>
  </si>
  <si>
    <t xml:space="preserve">Coûts de cession (%)</t>
  </si>
  <si>
    <t xml:space="preserve">Coûts de cession (€)</t>
  </si>
  <si>
    <t xml:space="preserve">DETTE RÉSIDUELLE À LA SORTIE (AN 7)</t>
  </si>
  <si>
    <t xml:space="preserve">Capital restant SCI (fin An 7)</t>
  </si>
  <si>
    <t xml:space="preserve">Capital restant SAS (entièrement remboursé)</t>
  </si>
  <si>
    <t xml:space="preserve">DETTE TOTALE RÉSIDUELLE</t>
  </si>
  <si>
    <t xml:space="preserve">VALEUR NETTE POUR LES ACTIONNAIRES</t>
  </si>
  <si>
    <t xml:space="preserve">Produit brut de cession (EV – frais)</t>
  </si>
  <si>
    <t xml:space="preserve">Remboursement dette résiduelle</t>
  </si>
  <si>
    <t xml:space="preserve">VALEUR NETTE ACTIONNAIRES</t>
  </si>
  <si>
    <t xml:space="preserve">RATIOS BANCAIRES &amp; INDICATEURS DE PERFORMANCE</t>
  </si>
  <si>
    <t xml:space="preserve">Ratio</t>
  </si>
  <si>
    <t xml:space="preserve">Valeur calculée</t>
  </si>
  <si>
    <t xml:space="preserve">Benchmark bancaire</t>
  </si>
  <si>
    <t xml:space="preserve">Interprétation</t>
  </si>
  <si>
    <t xml:space="preserve">COUVERTURE DE LA DETTE</t>
  </si>
  <si>
    <t xml:space="preserve">DSCR Année 1</t>
  </si>
  <si>
    <t xml:space="preserve">Min. 1,20×</t>
  </si>
  <si>
    <t xml:space="preserve">EBITDA An1 / Annuités totales</t>
  </si>
  <si>
    <t xml:space="preserve">DSCR Année 2</t>
  </si>
  <si>
    <t xml:space="preserve">Cible 1,30×</t>
  </si>
  <si>
    <t xml:space="preserve">DSCR Année 3</t>
  </si>
  <si>
    <t xml:space="preserve">Cible 1,40×</t>
  </si>
  <si>
    <t xml:space="preserve">Seuil de confort bancaire</t>
  </si>
  <si>
    <t xml:space="preserve">DSCR Année Moyen 7 ans</t>
  </si>
  <si>
    <t xml:space="preserve">Min. 1,25× moyen</t>
  </si>
  <si>
    <t xml:space="preserve">Indicateur clé banque</t>
  </si>
  <si>
    <t xml:space="preserve">LEVIER &amp; FINANCEMENT</t>
  </si>
  <si>
    <t xml:space="preserve">Max 70–75%</t>
  </si>
  <si>
    <t xml:space="preserve">LTV actif immobilier SCI</t>
  </si>
  <si>
    <t xml:space="preserve">Max 70%</t>
  </si>
  <si>
    <t xml:space="preserve">LTV exploitation SAS</t>
  </si>
  <si>
    <t xml:space="preserve">Max 75–80%</t>
  </si>
  <si>
    <t xml:space="preserve">Levier global du projet</t>
  </si>
  <si>
    <t xml:space="preserve">Min. 20–25%</t>
  </si>
  <si>
    <t xml:space="preserve">Solidité fonds propres</t>
  </si>
  <si>
    <t xml:space="preserve">RENTABILITÉ</t>
  </si>
  <si>
    <t xml:space="preserve">Marge EBITDA Année 1</t>
  </si>
  <si>
    <t xml:space="preserve">Secteur hôtelier 20–35%</t>
  </si>
  <si>
    <t xml:space="preserve">Performance opérationnelle</t>
  </si>
  <si>
    <t xml:space="preserve">Marge EBITDA Année 3</t>
  </si>
  <si>
    <t xml:space="preserve">Cible 25%+</t>
  </si>
  <si>
    <t xml:space="preserve">Après stabilisation</t>
  </si>
  <si>
    <t xml:space="preserve">Marge EBITDA Année 7</t>
  </si>
  <si>
    <t xml:space="preserve">Cible 28–32%</t>
  </si>
  <si>
    <t xml:space="preserve">Post montée en gamme</t>
  </si>
  <si>
    <t xml:space="preserve">POINT MORT</t>
  </si>
  <si>
    <t xml:space="preserve">CA annuel minimum (point mort)</t>
  </si>
  <si>
    <t xml:space="preserve">&lt; CA Année 1 idéalement</t>
  </si>
  <si>
    <t xml:space="preserve">CA nécessaire pour couvrir les charges fixes</t>
  </si>
  <si>
    <t xml:space="preserve">TO minimum (break-even)</t>
  </si>
  <si>
    <t xml:space="preserve">&lt; 55% idéalement</t>
  </si>
  <si>
    <t xml:space="preserve">TO minimum pour couvrir toutes les charges</t>
  </si>
  <si>
    <t xml:space="preserve">RENDEMENT INVESTISSEUR</t>
  </si>
  <si>
    <t xml:space="preserve">TRI Global (7 ans)</t>
  </si>
  <si>
    <t xml:space="preserve">Cible 8–12%</t>
  </si>
  <si>
    <t xml:space="preserve">Taux de Rendement Interne</t>
  </si>
  <si>
    <t xml:space="preserve">Cible 1,5–2,5×</t>
  </si>
  <si>
    <t xml:space="preserve">× mise initiale à la sortie</t>
  </si>
  <si>
    <t xml:space="preserve">Valeur nette sortie (central)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</si>
</sst>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&quot; €&quot;;\(#,##0&quot; €)&quot;;\-"/>
    <numFmt numFmtId="166" formatCode="0.0%;\(0.0%\);\-"/>
    <numFmt numFmtId="167" formatCode="0.00\x;\(0.00&quot;x)&quot;;\-"/>
    <numFmt numFmtId="168" formatCode="#,##0&quot; ch.&quot;"/>
    <numFmt numFmtId="169" formatCode="0"/>
    <numFmt numFmtId="170" formatCode="0&quot; ans&quot;"/>
    <numFmt numFmtId="171" formatCode="#,##0;\(#,##0\);\-"/>
    <numFmt numFmtId="172" formatCode="#,##0&quot; €&quot;"/>
  </numFmts>
  <fonts count="4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DFCFA"/>
      <name val="Arial"/>
      <family val="0"/>
      <charset val="1"/>
    </font>
    <font>
      <i val="true"/>
      <sz val="9"/>
      <color rgb="FFE8D5B0"/>
      <name val="Arial"/>
      <family val="0"/>
      <charset val="1"/>
    </font>
    <font>
      <i val="true"/>
      <sz val="8"/>
      <color rgb="FF8A97A8"/>
      <name val="Arial"/>
      <family val="0"/>
      <charset val="1"/>
    </font>
    <font>
      <b val="true"/>
      <sz val="8"/>
      <color rgb="FFE8D5B0"/>
      <name val="Arial"/>
      <family val="0"/>
      <charset val="1"/>
    </font>
    <font>
      <sz val="7"/>
      <color rgb="FFE8D5B0"/>
      <name val="Arial"/>
      <family val="0"/>
      <charset val="1"/>
    </font>
    <font>
      <b val="true"/>
      <sz val="15"/>
      <color rgb="FFC8A96E"/>
      <name val="Arial"/>
      <family val="0"/>
      <charset val="1"/>
    </font>
    <font>
      <i val="true"/>
      <sz val="7"/>
      <color rgb="FFE8D5B0"/>
      <name val="Arial"/>
      <family val="0"/>
      <charset val="1"/>
    </font>
    <font>
      <b val="true"/>
      <sz val="15"/>
      <color rgb="FFE8D5B0"/>
      <name val="Arial"/>
      <family val="0"/>
      <charset val="1"/>
    </font>
    <font>
      <b val="true"/>
      <sz val="9"/>
      <color rgb="FF4A5568"/>
      <name val="Arial"/>
      <family val="0"/>
      <charset val="1"/>
    </font>
    <font>
      <sz val="9"/>
      <color rgb="FF2D3748"/>
      <name val="Arial"/>
      <family val="0"/>
      <charset val="1"/>
    </font>
    <font>
      <b val="true"/>
      <sz val="9"/>
      <color rgb="FF0A1628"/>
      <name val="Arial"/>
      <family val="0"/>
      <charset val="1"/>
    </font>
    <font>
      <b val="true"/>
      <sz val="14"/>
      <color rgb="FFFDFCFA"/>
      <name val="Arial"/>
      <family val="0"/>
      <charset val="1"/>
    </font>
    <font>
      <i val="true"/>
      <sz val="8"/>
      <color rgb="FFE8D5B0"/>
      <name val="Arial"/>
      <family val="0"/>
      <charset val="1"/>
    </font>
    <font>
      <sz val="9"/>
      <color rgb="FF0000FF"/>
      <name val="Arial"/>
      <family val="0"/>
      <charset val="1"/>
    </font>
    <font>
      <b val="true"/>
      <sz val="8"/>
      <color rgb="FFFDFCFA"/>
      <name val="Arial"/>
      <family val="0"/>
      <charset val="1"/>
    </font>
    <font>
      <b val="true"/>
      <sz val="9"/>
      <color rgb="FFFDFCFA"/>
      <name val="Arial"/>
      <family val="0"/>
      <charset val="1"/>
    </font>
    <font>
      <b val="true"/>
      <sz val="10"/>
      <color rgb="FFC8A96E"/>
      <name val="Arial"/>
      <family val="0"/>
      <charset val="1"/>
    </font>
    <font>
      <sz val="9"/>
      <color rgb="FF0055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0"/>
      <color rgb="FFFDFCFA"/>
      <name val="Arial"/>
      <family val="0"/>
      <charset val="1"/>
    </font>
    <font>
      <sz val="8"/>
      <color rgb="FF0A1628"/>
      <name val="Arial"/>
      <family val="0"/>
      <charset val="1"/>
    </font>
    <font>
      <b val="true"/>
      <sz val="9"/>
      <color rgb="FF2D3748"/>
      <name val="Arial"/>
      <family val="0"/>
      <charset val="1"/>
    </font>
    <font>
      <i val="true"/>
      <sz val="9"/>
      <color rgb="FF2D3748"/>
      <name val="Arial"/>
      <family val="0"/>
      <charset val="1"/>
    </font>
    <font>
      <b val="true"/>
      <sz val="9"/>
      <color rgb="FF7B0000"/>
      <name val="Arial"/>
      <family val="0"/>
      <charset val="1"/>
    </font>
    <font>
      <b val="true"/>
      <sz val="10"/>
      <color rgb="FF7B0000"/>
      <name val="Arial"/>
      <family val="0"/>
      <charset val="1"/>
    </font>
    <font>
      <b val="true"/>
      <sz val="10"/>
      <color rgb="FF0A1628"/>
      <name val="Arial"/>
      <family val="0"/>
      <charset val="1"/>
    </font>
    <font>
      <b val="true"/>
      <sz val="9"/>
      <color rgb="FF006400"/>
      <name val="Arial"/>
      <family val="0"/>
      <charset val="1"/>
    </font>
    <font>
      <sz val="9"/>
      <color rgb="FF006400"/>
      <name val="Arial"/>
      <family val="0"/>
      <charset val="1"/>
    </font>
    <font>
      <sz val="9"/>
      <color rgb="FF0A1628"/>
      <name val="Arial"/>
      <family val="0"/>
      <charset val="1"/>
    </font>
    <font>
      <b val="true"/>
      <sz val="14"/>
      <color rgb="FFC8A96E"/>
      <name val="Arial"/>
      <family val="0"/>
      <charset val="1"/>
    </font>
    <font>
      <b val="true"/>
      <sz val="11"/>
      <color rgb="FF7A3B00"/>
      <name val="Arial"/>
      <family val="0"/>
      <charset val="1"/>
    </font>
    <font>
      <b val="true"/>
      <sz val="11"/>
      <color rgb="FFFDFCFA"/>
      <name val="Arial"/>
      <family val="0"/>
      <charset val="1"/>
    </font>
    <font>
      <b val="true"/>
      <sz val="11"/>
      <color rgb="FF006400"/>
      <name val="Arial"/>
      <family val="0"/>
      <charset val="1"/>
    </font>
    <font>
      <sz val="9"/>
      <color rgb="FF7A3B00"/>
      <name val="Arial"/>
      <family val="0"/>
      <charset val="1"/>
    </font>
    <font>
      <b val="true"/>
      <sz val="10"/>
      <color rgb="FF7A3B00"/>
      <name val="Arial"/>
      <family val="0"/>
      <charset val="1"/>
    </font>
    <font>
      <b val="true"/>
      <sz val="10"/>
      <color rgb="FF006400"/>
      <name val="Arial"/>
      <family val="0"/>
      <charset val="1"/>
    </font>
    <font>
      <b val="true"/>
      <sz val="8"/>
      <color rgb="FF0A1628"/>
      <name val="Arial"/>
      <family val="0"/>
      <charset val="1"/>
    </font>
    <font>
      <b val="true"/>
      <sz val="9"/>
      <color rgb="FF7A3B00"/>
      <name val="Arial"/>
      <family val="0"/>
      <charset val="1"/>
    </font>
    <font>
      <sz val="8"/>
      <color rgb="FF2D3748"/>
      <name val="Arial"/>
      <family val="0"/>
      <charset val="1"/>
    </font>
  </fonts>
  <fills count="16">
    <fill>
      <patternFill patternType="none"/>
    </fill>
    <fill>
      <patternFill patternType="gray125"/>
    </fill>
    <fill>
      <patternFill patternType="solid">
        <fgColor rgb="FF0A1628"/>
        <bgColor rgb="FF14294A"/>
      </patternFill>
    </fill>
    <fill>
      <patternFill patternType="solid">
        <fgColor rgb="FF14294A"/>
        <bgColor rgb="FF1E3A5F"/>
      </patternFill>
    </fill>
    <fill>
      <patternFill patternType="solid">
        <fgColor rgb="FF1E3A5F"/>
        <bgColor rgb="FF2D3748"/>
      </patternFill>
    </fill>
    <fill>
      <patternFill patternType="solid">
        <fgColor rgb="FFEDF0F4"/>
        <bgColor rgb="FFEEF4FF"/>
      </patternFill>
    </fill>
    <fill>
      <patternFill patternType="solid">
        <fgColor rgb="FFFDFCFA"/>
        <bgColor rgb="FFFFF8EE"/>
      </patternFill>
    </fill>
    <fill>
      <patternFill patternType="solid">
        <fgColor rgb="FFE8D5B0"/>
        <bgColor rgb="FFD4EDDA"/>
      </patternFill>
    </fill>
    <fill>
      <patternFill patternType="solid">
        <fgColor rgb="FFEEF4FF"/>
        <bgColor rgb="FFE8F4FD"/>
      </patternFill>
    </fill>
    <fill>
      <patternFill patternType="solid">
        <fgColor rgb="FFFFF8EE"/>
        <bgColor rgb="FFFDFCFA"/>
      </patternFill>
    </fill>
    <fill>
      <patternFill patternType="solid">
        <fgColor rgb="FFF0FFF4"/>
        <bgColor rgb="FFFDFCFA"/>
      </patternFill>
    </fill>
    <fill>
      <patternFill patternType="solid">
        <fgColor rgb="FFFDECEA"/>
        <bgColor rgb="FFFFF0DC"/>
      </patternFill>
    </fill>
    <fill>
      <patternFill patternType="solid">
        <fgColor rgb="FFC8A96E"/>
        <bgColor rgb="FFBBBBBB"/>
      </patternFill>
    </fill>
    <fill>
      <patternFill patternType="solid">
        <fgColor rgb="FFD4EDDA"/>
        <bgColor rgb="FFEDF0F4"/>
      </patternFill>
    </fill>
    <fill>
      <patternFill patternType="solid">
        <fgColor rgb="FFFFF0DC"/>
        <bgColor rgb="FFFDECEA"/>
      </patternFill>
    </fill>
    <fill>
      <patternFill patternType="solid">
        <fgColor rgb="FFE8F4FD"/>
        <bgColor rgb="FFEEF4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7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6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17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0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1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2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3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22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0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1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21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4" fillId="9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4" fillId="9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24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4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1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1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5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9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5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21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6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1" fontId="22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7" fillId="11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8" fillId="11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3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29" fillId="1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0" fillId="1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31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2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0" fillId="6" borderId="2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33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33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4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5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2" fillId="1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1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1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7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27" fillId="11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2" fontId="41" fillId="1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1" fillId="1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1" fillId="15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1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1" fillId="1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1" fillId="15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1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2" fillId="1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2" fillId="15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22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1" fillId="1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1" fillId="15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21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38" fillId="1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39" fillId="1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1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2" fillId="6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DFCFA"/>
      <rgbColor rgb="FFFF0000"/>
      <rgbColor rgb="FF00FF00"/>
      <rgbColor rgb="FF0000FF"/>
      <rgbColor rgb="FFFFFF00"/>
      <rgbColor rgb="FFFF00FF"/>
      <rgbColor rgb="FF00FFFF"/>
      <rgbColor rgb="FF7B0000"/>
      <rgbColor rgb="FF006400"/>
      <rgbColor rgb="FF0A1628"/>
      <rgbColor rgb="FF808000"/>
      <rgbColor rgb="FF800080"/>
      <rgbColor rgb="FF008080"/>
      <rgbColor rgb="FFBBBBBB"/>
      <rgbColor rgb="FF808080"/>
      <rgbColor rgb="FF9999FF"/>
      <rgbColor rgb="FF993366"/>
      <rgbColor rgb="FFFFF8EE"/>
      <rgbColor rgb="FFE8F4FD"/>
      <rgbColor rgb="FF660066"/>
      <rgbColor rgb="FFC8A96E"/>
      <rgbColor rgb="FF0066CC"/>
      <rgbColor rgb="FFEDF0F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FF4"/>
      <rgbColor rgb="FFD4EDDA"/>
      <rgbColor rgb="FFFFF0DC"/>
      <rgbColor rgb="FFEEF4FF"/>
      <rgbColor rgb="FFFDECEA"/>
      <rgbColor rgb="FFCC99FF"/>
      <rgbColor rgb="FFE8D5B0"/>
      <rgbColor rgb="FF3366FF"/>
      <rgbColor rgb="FF33CCCC"/>
      <rgbColor rgb="FF99CC00"/>
      <rgbColor rgb="FFFFCC00"/>
      <rgbColor rgb="FFFF9900"/>
      <rgbColor rgb="FFFF6600"/>
      <rgbColor rgb="FF4A5568"/>
      <rgbColor rgb="FF8A97A8"/>
      <rgbColor rgb="FF14294A"/>
      <rgbColor rgb="FF339966"/>
      <rgbColor rgb="FF005500"/>
      <rgbColor rgb="FF333300"/>
      <rgbColor rgb="FF7A3B00"/>
      <rgbColor rgb="FF993366"/>
      <rgbColor rgb="FF1E3A5F"/>
      <rgbColor rgb="FF2D374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A1628"/>
    <pageSetUpPr fitToPage="false"/>
  </sheetPr>
  <dimension ref="B1:G4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4"/>
    <col collapsed="false" customWidth="true" hidden="false" outlineLevel="0" max="7" min="3" style="1" width="15"/>
    <col collapsed="false" customWidth="true" hidden="false" outlineLevel="0" max="8" min="8" style="1" width="2"/>
  </cols>
  <sheetData>
    <row r="1" customFormat="false" ht="30" hidden="false" customHeight="true" outlineLevel="0" collapsed="false">
      <c r="B1" s="2" t="s">
        <v>0</v>
      </c>
      <c r="C1" s="2"/>
      <c r="D1" s="2"/>
      <c r="E1" s="2"/>
      <c r="F1" s="2"/>
      <c r="G1" s="2"/>
    </row>
    <row r="2" customFormat="false" ht="13.5" hidden="false" customHeight="true" outlineLevel="0" collapsed="false">
      <c r="B2" s="3" t="s">
        <v>1</v>
      </c>
      <c r="C2" s="3"/>
      <c r="D2" s="3"/>
      <c r="E2" s="3"/>
      <c r="F2" s="3"/>
      <c r="G2" s="3"/>
    </row>
    <row r="3" customFormat="false" ht="13.5" hidden="false" customHeight="true" outlineLevel="0" collapsed="false">
      <c r="B3" s="4" t="s">
        <v>2</v>
      </c>
      <c r="C3" s="4"/>
      <c r="D3" s="4"/>
      <c r="E3" s="4"/>
      <c r="F3" s="4"/>
      <c r="G3" s="4"/>
    </row>
    <row r="5" customFormat="false" ht="15.75" hidden="false" customHeight="true" outlineLevel="0" collapsed="false">
      <c r="B5" s="5" t="s">
        <v>3</v>
      </c>
      <c r="C5" s="5"/>
      <c r="D5" s="5"/>
      <c r="E5" s="5"/>
      <c r="F5" s="5"/>
      <c r="G5" s="5"/>
    </row>
    <row r="6" customFormat="false" ht="13.5" hidden="false" customHeight="true" outlineLevel="0" collapsed="false">
      <c r="B6" s="6" t="s">
        <v>4</v>
      </c>
      <c r="C6" s="6"/>
      <c r="D6" s="6" t="s">
        <v>5</v>
      </c>
      <c r="E6" s="6"/>
      <c r="F6" s="7" t="s">
        <v>6</v>
      </c>
      <c r="G6" s="7"/>
    </row>
    <row r="7" customFormat="false" ht="24" hidden="false" customHeight="true" outlineLevel="0" collapsed="false">
      <c r="B7" s="8" t="n">
        <f aca="false">Hypothèses!C32</f>
        <v>2000000</v>
      </c>
      <c r="C7" s="8"/>
      <c r="D7" s="8" t="n">
        <f aca="false">Hypothèses!C38</f>
        <v>1000000</v>
      </c>
      <c r="E7" s="8"/>
      <c r="F7" s="9" t="n">
        <f aca="false">'Budget Acquisition'!C17</f>
        <v>3405000</v>
      </c>
      <c r="G7" s="9"/>
    </row>
    <row r="8" customFormat="false" ht="12" hidden="false" customHeight="true" outlineLevel="0" collapsed="false">
      <c r="B8" s="10" t="s">
        <v>7</v>
      </c>
      <c r="C8" s="10"/>
      <c r="D8" s="10" t="s">
        <v>8</v>
      </c>
      <c r="E8" s="10"/>
      <c r="F8" s="11" t="s">
        <v>9</v>
      </c>
      <c r="G8" s="11"/>
    </row>
    <row r="9" customFormat="false" ht="4.5" hidden="false" customHeight="true" outlineLevel="0" collapsed="false">
      <c r="B9" s="12"/>
      <c r="C9" s="12"/>
      <c r="D9" s="12"/>
      <c r="E9" s="12"/>
      <c r="F9" s="12"/>
      <c r="G9" s="12"/>
    </row>
    <row r="10" customFormat="false" ht="13.5" hidden="false" customHeight="true" outlineLevel="0" collapsed="false">
      <c r="B10" s="6" t="s">
        <v>10</v>
      </c>
      <c r="C10" s="6"/>
      <c r="D10" s="6" t="s">
        <v>11</v>
      </c>
      <c r="E10" s="6"/>
      <c r="F10" s="7" t="s">
        <v>12</v>
      </c>
      <c r="G10" s="7"/>
    </row>
    <row r="11" customFormat="false" ht="24" hidden="false" customHeight="true" outlineLevel="0" collapsed="false">
      <c r="B11" s="13" t="n">
        <f aca="false">'Plan Financement'!C9</f>
        <v>1350035</v>
      </c>
      <c r="C11" s="13"/>
      <c r="D11" s="13" t="n">
        <f aca="false">'Plan Financement'!C14</f>
        <v>2165000</v>
      </c>
      <c r="E11" s="13"/>
      <c r="F11" s="14" t="n">
        <f aca="false">IFERROR('Plan Financement'!C14/'Budget Acquisition'!C17,0)</f>
        <v>0.63582966226138</v>
      </c>
      <c r="G11" s="14"/>
    </row>
    <row r="12" customFormat="false" ht="12" hidden="false" customHeight="true" outlineLevel="0" collapsed="false">
      <c r="B12" s="10" t="s">
        <v>13</v>
      </c>
      <c r="C12" s="10"/>
      <c r="D12" s="10" t="s">
        <v>14</v>
      </c>
      <c r="E12" s="10"/>
      <c r="F12" s="11" t="s">
        <v>15</v>
      </c>
      <c r="G12" s="11"/>
    </row>
    <row r="13" customFormat="false" ht="4.5" hidden="false" customHeight="true" outlineLevel="0" collapsed="false">
      <c r="B13" s="12"/>
      <c r="C13" s="12"/>
      <c r="D13" s="12"/>
      <c r="E13" s="12"/>
      <c r="F13" s="12"/>
      <c r="G13" s="12"/>
    </row>
    <row r="14" customFormat="false" ht="15.75" hidden="false" customHeight="true" outlineLevel="0" collapsed="false">
      <c r="B14" s="5" t="s">
        <v>16</v>
      </c>
      <c r="C14" s="5"/>
      <c r="D14" s="5"/>
      <c r="E14" s="5"/>
      <c r="F14" s="5"/>
      <c r="G14" s="5"/>
    </row>
    <row r="15" customFormat="false" ht="13.5" hidden="false" customHeight="true" outlineLevel="0" collapsed="false">
      <c r="B15" s="6" t="s">
        <v>17</v>
      </c>
      <c r="C15" s="6"/>
      <c r="D15" s="6" t="s">
        <v>18</v>
      </c>
      <c r="E15" s="6"/>
      <c r="F15" s="7" t="s">
        <v>19</v>
      </c>
      <c r="G15" s="7"/>
    </row>
    <row r="16" customFormat="false" ht="24" hidden="false" customHeight="true" outlineLevel="0" collapsed="false">
      <c r="B16" s="15" t="str">
        <f aca="false">'Cash-flow Invest.'!C15</f>
        <v>Calc</v>
      </c>
      <c r="C16" s="15"/>
      <c r="D16" s="16" t="n">
        <f aca="false">'Cash-flow Invest.'!C18</f>
        <v>-0.248578490709594</v>
      </c>
      <c r="E16" s="16"/>
      <c r="F16" s="9" t="n">
        <f aca="false">'Sortie Valorisation'!D18</f>
        <v>-136044.767307913</v>
      </c>
      <c r="G16" s="9"/>
    </row>
    <row r="17" customFormat="false" ht="12" hidden="false" customHeight="true" outlineLevel="0" collapsed="false">
      <c r="B17" s="10" t="s">
        <v>20</v>
      </c>
      <c r="C17" s="10"/>
      <c r="D17" s="10" t="s">
        <v>21</v>
      </c>
      <c r="E17" s="10"/>
      <c r="F17" s="11" t="s">
        <v>22</v>
      </c>
      <c r="G17" s="11"/>
    </row>
    <row r="18" customFormat="false" ht="4.5" hidden="false" customHeight="true" outlineLevel="0" collapsed="false">
      <c r="B18" s="12"/>
      <c r="C18" s="12"/>
      <c r="D18" s="12"/>
      <c r="E18" s="12"/>
      <c r="F18" s="12"/>
      <c r="G18" s="12"/>
    </row>
    <row r="19" customFormat="false" ht="13.5" hidden="false" customHeight="true" outlineLevel="0" collapsed="false">
      <c r="B19" s="6" t="s">
        <v>23</v>
      </c>
      <c r="C19" s="6"/>
      <c r="D19" s="6" t="s">
        <v>24</v>
      </c>
      <c r="E19" s="6"/>
      <c r="F19" s="7" t="s">
        <v>25</v>
      </c>
      <c r="G19" s="7"/>
    </row>
    <row r="20" customFormat="false" ht="24" hidden="false" customHeight="true" outlineLevel="0" collapsed="false">
      <c r="B20" s="13" t="n">
        <f aca="false">'Exploitation P&amp;L'!C29</f>
        <v>110237.99</v>
      </c>
      <c r="C20" s="13"/>
      <c r="D20" s="13" t="n">
        <f aca="false">'Exploitation P&amp;L'!I29</f>
        <v>166082.141728337</v>
      </c>
      <c r="E20" s="13"/>
      <c r="F20" s="17" t="n">
        <f aca="false">'Ratios Bancaires'!C5</f>
        <v>0.525289663818131</v>
      </c>
      <c r="G20" s="17"/>
    </row>
    <row r="21" customFormat="false" ht="12" hidden="false" customHeight="true" outlineLevel="0" collapsed="false">
      <c r="B21" s="10" t="s">
        <v>26</v>
      </c>
      <c r="C21" s="10"/>
      <c r="D21" s="10" t="s">
        <v>27</v>
      </c>
      <c r="E21" s="10"/>
      <c r="F21" s="11" t="s">
        <v>28</v>
      </c>
      <c r="G21" s="11"/>
    </row>
    <row r="22" customFormat="false" ht="4.5" hidden="false" customHeight="true" outlineLevel="0" collapsed="false">
      <c r="B22" s="12"/>
      <c r="C22" s="12"/>
      <c r="D22" s="12"/>
      <c r="E22" s="12"/>
      <c r="F22" s="12"/>
      <c r="G22" s="12"/>
    </row>
    <row r="23" customFormat="false" ht="15.75" hidden="false" customHeight="true" outlineLevel="0" collapsed="false">
      <c r="B23" s="5" t="s">
        <v>29</v>
      </c>
      <c r="C23" s="5"/>
      <c r="D23" s="5"/>
      <c r="E23" s="5"/>
      <c r="F23" s="5"/>
      <c r="G23" s="5"/>
    </row>
    <row r="24" customFormat="false" ht="15" hidden="false" customHeight="true" outlineLevel="0" collapsed="false">
      <c r="B24" s="18" t="s">
        <v>30</v>
      </c>
      <c r="C24" s="18"/>
      <c r="D24" s="19" t="s">
        <v>31</v>
      </c>
      <c r="E24" s="19"/>
      <c r="F24" s="19"/>
      <c r="G24" s="19"/>
    </row>
    <row r="25" customFormat="false" ht="15" hidden="false" customHeight="true" outlineLevel="0" collapsed="false">
      <c r="B25" s="18" t="s">
        <v>32</v>
      </c>
      <c r="C25" s="18"/>
      <c r="D25" s="19" t="s">
        <v>33</v>
      </c>
      <c r="E25" s="19"/>
      <c r="F25" s="19"/>
      <c r="G25" s="19"/>
    </row>
    <row r="26" customFormat="false" ht="15" hidden="false" customHeight="true" outlineLevel="0" collapsed="false">
      <c r="B26" s="18" t="s">
        <v>34</v>
      </c>
      <c r="C26" s="18"/>
      <c r="D26" s="19" t="s">
        <v>35</v>
      </c>
      <c r="E26" s="19"/>
      <c r="F26" s="19"/>
      <c r="G26" s="19"/>
    </row>
    <row r="27" customFormat="false" ht="15" hidden="false" customHeight="true" outlineLevel="0" collapsed="false">
      <c r="B27" s="18" t="s">
        <v>36</v>
      </c>
      <c r="C27" s="18"/>
      <c r="D27" s="19" t="s">
        <v>37</v>
      </c>
      <c r="E27" s="19"/>
      <c r="F27" s="19"/>
      <c r="G27" s="19"/>
    </row>
    <row r="28" customFormat="false" ht="15" hidden="false" customHeight="true" outlineLevel="0" collapsed="false">
      <c r="B28" s="18" t="s">
        <v>38</v>
      </c>
      <c r="C28" s="18"/>
      <c r="D28" s="19" t="s">
        <v>39</v>
      </c>
      <c r="E28" s="19"/>
      <c r="F28" s="19"/>
      <c r="G28" s="19"/>
    </row>
    <row r="29" customFormat="false" ht="15" hidden="false" customHeight="true" outlineLevel="0" collapsed="false">
      <c r="B29" s="18" t="s">
        <v>40</v>
      </c>
      <c r="C29" s="18"/>
      <c r="D29" s="19" t="s">
        <v>41</v>
      </c>
      <c r="E29" s="19"/>
      <c r="F29" s="19"/>
      <c r="G29" s="19"/>
    </row>
    <row r="30" customFormat="false" ht="15" hidden="false" customHeight="true" outlineLevel="0" collapsed="false">
      <c r="B30" s="18" t="s">
        <v>42</v>
      </c>
      <c r="C30" s="18"/>
      <c r="D30" s="19" t="s">
        <v>43</v>
      </c>
      <c r="E30" s="19"/>
      <c r="F30" s="19"/>
      <c r="G30" s="19"/>
    </row>
    <row r="32" customFormat="false" ht="15.75" hidden="false" customHeight="true" outlineLevel="0" collapsed="false">
      <c r="B32" s="5" t="s">
        <v>44</v>
      </c>
      <c r="C32" s="5"/>
      <c r="D32" s="5"/>
      <c r="E32" s="5"/>
      <c r="F32" s="5"/>
      <c r="G32" s="5"/>
    </row>
    <row r="33" customFormat="false" ht="13.5" hidden="false" customHeight="true" outlineLevel="0" collapsed="false">
      <c r="B33" s="20" t="s">
        <v>45</v>
      </c>
      <c r="C33" s="20"/>
      <c r="D33" s="19" t="s">
        <v>46</v>
      </c>
      <c r="E33" s="19"/>
      <c r="F33" s="19"/>
      <c r="G33" s="19"/>
    </row>
    <row r="34" customFormat="false" ht="13.5" hidden="false" customHeight="true" outlineLevel="0" collapsed="false">
      <c r="B34" s="20" t="s">
        <v>47</v>
      </c>
      <c r="C34" s="20"/>
      <c r="D34" s="19" t="s">
        <v>48</v>
      </c>
      <c r="E34" s="19"/>
      <c r="F34" s="19"/>
      <c r="G34" s="19"/>
    </row>
    <row r="35" customFormat="false" ht="13.5" hidden="false" customHeight="true" outlineLevel="0" collapsed="false">
      <c r="B35" s="20" t="s">
        <v>49</v>
      </c>
      <c r="C35" s="20"/>
      <c r="D35" s="19" t="s">
        <v>50</v>
      </c>
      <c r="E35" s="19"/>
      <c r="F35" s="19"/>
      <c r="G35" s="19"/>
    </row>
    <row r="36" customFormat="false" ht="13.5" hidden="false" customHeight="true" outlineLevel="0" collapsed="false">
      <c r="B36" s="20" t="s">
        <v>51</v>
      </c>
      <c r="C36" s="20"/>
      <c r="D36" s="19" t="s">
        <v>52</v>
      </c>
      <c r="E36" s="19"/>
      <c r="F36" s="19"/>
      <c r="G36" s="19"/>
    </row>
    <row r="37" customFormat="false" ht="13.5" hidden="false" customHeight="true" outlineLevel="0" collapsed="false">
      <c r="B37" s="20" t="s">
        <v>53</v>
      </c>
      <c r="C37" s="20"/>
      <c r="D37" s="19" t="s">
        <v>54</v>
      </c>
      <c r="E37" s="19"/>
      <c r="F37" s="19"/>
      <c r="G37" s="19"/>
    </row>
    <row r="38" customFormat="false" ht="13.5" hidden="false" customHeight="true" outlineLevel="0" collapsed="false">
      <c r="B38" s="20" t="s">
        <v>55</v>
      </c>
      <c r="C38" s="20"/>
      <c r="D38" s="19" t="s">
        <v>56</v>
      </c>
      <c r="E38" s="19"/>
      <c r="F38" s="19"/>
      <c r="G38" s="19"/>
    </row>
    <row r="39" customFormat="false" ht="13.5" hidden="false" customHeight="true" outlineLevel="0" collapsed="false">
      <c r="B39" s="20" t="s">
        <v>57</v>
      </c>
      <c r="C39" s="20"/>
      <c r="D39" s="19" t="s">
        <v>58</v>
      </c>
      <c r="E39" s="19"/>
      <c r="F39" s="19"/>
      <c r="G39" s="19"/>
    </row>
    <row r="40" customFormat="false" ht="13.5" hidden="false" customHeight="true" outlineLevel="0" collapsed="false">
      <c r="B40" s="20" t="s">
        <v>59</v>
      </c>
      <c r="C40" s="20"/>
      <c r="D40" s="19" t="s">
        <v>60</v>
      </c>
      <c r="E40" s="19"/>
      <c r="F40" s="19"/>
      <c r="G40" s="19"/>
    </row>
    <row r="41" customFormat="false" ht="13.5" hidden="false" customHeight="true" outlineLevel="0" collapsed="false">
      <c r="B41" s="20" t="s">
        <v>61</v>
      </c>
      <c r="C41" s="20"/>
      <c r="D41" s="19" t="s">
        <v>62</v>
      </c>
      <c r="E41" s="19"/>
      <c r="F41" s="19"/>
      <c r="G41" s="19"/>
    </row>
  </sheetData>
  <mergeCells count="87">
    <mergeCell ref="B1:G1"/>
    <mergeCell ref="B2:G2"/>
    <mergeCell ref="B3:G3"/>
    <mergeCell ref="B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G23"/>
    <mergeCell ref="B24:C24"/>
    <mergeCell ref="D24:G24"/>
    <mergeCell ref="B25:C25"/>
    <mergeCell ref="D25:G25"/>
    <mergeCell ref="B26:C26"/>
    <mergeCell ref="D26:G26"/>
    <mergeCell ref="B27:C27"/>
    <mergeCell ref="D27:G27"/>
    <mergeCell ref="B28:C28"/>
    <mergeCell ref="D28:G28"/>
    <mergeCell ref="B29:C29"/>
    <mergeCell ref="D29:G29"/>
    <mergeCell ref="B30:C30"/>
    <mergeCell ref="D30:G30"/>
    <mergeCell ref="B32:G32"/>
    <mergeCell ref="B33:C33"/>
    <mergeCell ref="D33:G33"/>
    <mergeCell ref="B34:C34"/>
    <mergeCell ref="D34:G34"/>
    <mergeCell ref="B35:C35"/>
    <mergeCell ref="D35:G35"/>
    <mergeCell ref="B36:C36"/>
    <mergeCell ref="D36:G36"/>
    <mergeCell ref="B37:C37"/>
    <mergeCell ref="D37:G37"/>
    <mergeCell ref="B38:C38"/>
    <mergeCell ref="D38:G38"/>
    <mergeCell ref="B39:C39"/>
    <mergeCell ref="D39:G39"/>
    <mergeCell ref="B40:C40"/>
    <mergeCell ref="D40:G40"/>
    <mergeCell ref="B41:C41"/>
    <mergeCell ref="D41:G4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4294A"/>
    <pageSetUpPr fitToPage="false"/>
  </sheetPr>
  <dimension ref="B1:D6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6"/>
    <col collapsed="false" customWidth="true" hidden="false" outlineLevel="0" max="3" min="3" style="1" width="18"/>
    <col collapsed="false" customWidth="true" hidden="false" outlineLevel="0" max="4" min="4" style="1" width="30"/>
    <col collapsed="false" customWidth="true" hidden="false" outlineLevel="0" max="5" min="5" style="1" width="2"/>
  </cols>
  <sheetData>
    <row r="1" customFormat="false" ht="30" hidden="false" customHeight="true" outlineLevel="0" collapsed="false">
      <c r="B1" s="21" t="s">
        <v>63</v>
      </c>
      <c r="C1" s="21"/>
      <c r="D1" s="21"/>
    </row>
    <row r="2" customFormat="false" ht="12.75" hidden="false" customHeight="true" outlineLevel="0" collapsed="false">
      <c r="B2" s="22" t="s">
        <v>64</v>
      </c>
      <c r="C2" s="22"/>
      <c r="D2" s="22"/>
    </row>
    <row r="4" customFormat="false" ht="15.75" hidden="false" customHeight="true" outlineLevel="0" collapsed="false">
      <c r="B4" s="5" t="s">
        <v>65</v>
      </c>
      <c r="C4" s="5"/>
      <c r="D4" s="5"/>
    </row>
    <row r="5" customFormat="false" ht="15" hidden="false" customHeight="true" outlineLevel="0" collapsed="false">
      <c r="B5" s="23" t="s">
        <v>66</v>
      </c>
      <c r="C5" s="24" t="n">
        <v>35</v>
      </c>
      <c r="D5" s="25" t="s">
        <v>67</v>
      </c>
    </row>
    <row r="6" customFormat="false" ht="15" hidden="false" customHeight="true" outlineLevel="0" collapsed="false">
      <c r="B6" s="23" t="s">
        <v>68</v>
      </c>
      <c r="C6" s="26" t="n">
        <v>0</v>
      </c>
      <c r="D6" s="25" t="s">
        <v>69</v>
      </c>
    </row>
    <row r="7" customFormat="false" ht="15" hidden="false" customHeight="true" outlineLevel="0" collapsed="false">
      <c r="B7" s="23" t="s">
        <v>70</v>
      </c>
      <c r="C7" s="26" t="n">
        <v>60000</v>
      </c>
      <c r="D7" s="25" t="s">
        <v>71</v>
      </c>
    </row>
    <row r="8" customFormat="false" ht="15" hidden="false" customHeight="true" outlineLevel="0" collapsed="false">
      <c r="B8" s="23" t="s">
        <v>72</v>
      </c>
      <c r="C8" s="27" t="n">
        <v>2026</v>
      </c>
      <c r="D8" s="25" t="s">
        <v>73</v>
      </c>
    </row>
    <row r="10" customFormat="false" ht="15.75" hidden="false" customHeight="true" outlineLevel="0" collapsed="false">
      <c r="B10" s="5" t="s">
        <v>74</v>
      </c>
      <c r="C10" s="5"/>
      <c r="D10" s="5"/>
    </row>
    <row r="11" customFormat="false" ht="15" hidden="false" customHeight="true" outlineLevel="0" collapsed="false">
      <c r="B11" s="23" t="s">
        <v>75</v>
      </c>
      <c r="C11" s="28" t="n">
        <v>0.6</v>
      </c>
      <c r="D11" s="25" t="s">
        <v>76</v>
      </c>
    </row>
    <row r="12" customFormat="false" ht="15" hidden="false" customHeight="true" outlineLevel="0" collapsed="false">
      <c r="B12" s="23" t="s">
        <v>77</v>
      </c>
      <c r="C12" s="28" t="n">
        <v>0.015</v>
      </c>
      <c r="D12" s="25" t="s">
        <v>78</v>
      </c>
    </row>
    <row r="13" customFormat="false" ht="15" hidden="false" customHeight="true" outlineLevel="0" collapsed="false">
      <c r="B13" s="23" t="s">
        <v>79</v>
      </c>
      <c r="C13" s="26" t="n">
        <v>92</v>
      </c>
      <c r="D13" s="25" t="s">
        <v>80</v>
      </c>
    </row>
    <row r="14" customFormat="false" ht="15" hidden="false" customHeight="true" outlineLevel="0" collapsed="false">
      <c r="B14" s="23" t="s">
        <v>81</v>
      </c>
      <c r="C14" s="28" t="n">
        <v>0.015</v>
      </c>
      <c r="D14" s="25" t="s">
        <v>82</v>
      </c>
    </row>
    <row r="15" customFormat="false" ht="15" hidden="false" customHeight="true" outlineLevel="0" collapsed="false">
      <c r="B15" s="23" t="s">
        <v>83</v>
      </c>
      <c r="C15" s="28" t="n">
        <v>0.55</v>
      </c>
      <c r="D15" s="25" t="s">
        <v>84</v>
      </c>
    </row>
    <row r="16" customFormat="false" ht="15" hidden="false" customHeight="true" outlineLevel="0" collapsed="false">
      <c r="B16" s="23" t="s">
        <v>85</v>
      </c>
      <c r="C16" s="26" t="n">
        <v>13</v>
      </c>
    </row>
    <row r="17" customFormat="false" ht="15" hidden="false" customHeight="true" outlineLevel="0" collapsed="false">
      <c r="B17" s="23" t="s">
        <v>86</v>
      </c>
      <c r="C17" s="28" t="n">
        <v>0.06</v>
      </c>
      <c r="D17" s="25" t="s">
        <v>87</v>
      </c>
    </row>
    <row r="19" customFormat="false" ht="15.75" hidden="false" customHeight="true" outlineLevel="0" collapsed="false">
      <c r="B19" s="5" t="s">
        <v>88</v>
      </c>
      <c r="C19" s="5"/>
      <c r="D19" s="5"/>
    </row>
    <row r="20" customFormat="false" ht="15" hidden="false" customHeight="true" outlineLevel="0" collapsed="false">
      <c r="B20" s="23" t="s">
        <v>89</v>
      </c>
      <c r="C20" s="26" t="n">
        <v>369000</v>
      </c>
      <c r="D20" s="25" t="s">
        <v>90</v>
      </c>
    </row>
    <row r="21" customFormat="false" ht="15" hidden="false" customHeight="true" outlineLevel="0" collapsed="false">
      <c r="B21" s="23" t="s">
        <v>91</v>
      </c>
      <c r="C21" s="28" t="n">
        <v>0.015</v>
      </c>
      <c r="D21" s="25" t="s">
        <v>92</v>
      </c>
    </row>
    <row r="22" customFormat="false" ht="15" hidden="false" customHeight="true" outlineLevel="0" collapsed="false">
      <c r="B22" s="23" t="s">
        <v>93</v>
      </c>
      <c r="C22" s="28" t="n">
        <v>0.14</v>
      </c>
      <c r="D22" s="25" t="s">
        <v>94</v>
      </c>
    </row>
    <row r="23" customFormat="false" ht="15" hidden="false" customHeight="true" outlineLevel="0" collapsed="false">
      <c r="B23" s="23" t="s">
        <v>95</v>
      </c>
      <c r="C23" s="28" t="n">
        <v>0.047</v>
      </c>
    </row>
    <row r="24" customFormat="false" ht="15" hidden="false" customHeight="true" outlineLevel="0" collapsed="false">
      <c r="B24" s="23" t="s">
        <v>96</v>
      </c>
      <c r="C24" s="28" t="n">
        <v>0.05</v>
      </c>
    </row>
    <row r="25" customFormat="false" ht="15" hidden="false" customHeight="true" outlineLevel="0" collapsed="false">
      <c r="B25" s="23" t="s">
        <v>97</v>
      </c>
      <c r="C25" s="26" t="n">
        <v>10000</v>
      </c>
      <c r="D25" s="25" t="s">
        <v>98</v>
      </c>
    </row>
    <row r="26" customFormat="false" ht="15" hidden="false" customHeight="true" outlineLevel="0" collapsed="false">
      <c r="B26" s="23" t="s">
        <v>99</v>
      </c>
      <c r="C26" s="26" t="n">
        <v>25000</v>
      </c>
      <c r="D26" s="25" t="s">
        <v>100</v>
      </c>
    </row>
    <row r="27" customFormat="false" ht="15" hidden="false" customHeight="true" outlineLevel="0" collapsed="false">
      <c r="B27" s="23" t="s">
        <v>101</v>
      </c>
      <c r="C27" s="26" t="n">
        <v>7500</v>
      </c>
      <c r="D27" s="25" t="s">
        <v>102</v>
      </c>
    </row>
    <row r="28" customFormat="false" ht="15" hidden="false" customHeight="true" outlineLevel="0" collapsed="false">
      <c r="B28" s="23" t="s">
        <v>103</v>
      </c>
      <c r="C28" s="28" t="n">
        <v>0.33</v>
      </c>
      <c r="D28" s="25" t="s">
        <v>104</v>
      </c>
    </row>
    <row r="29" customFormat="false" ht="15" hidden="false" customHeight="true" outlineLevel="0" collapsed="false">
      <c r="B29" s="23" t="s">
        <v>105</v>
      </c>
      <c r="C29" s="28" t="n">
        <v>0.15</v>
      </c>
      <c r="D29" s="25" t="s">
        <v>106</v>
      </c>
    </row>
    <row r="31" customFormat="false" ht="15.75" hidden="false" customHeight="true" outlineLevel="0" collapsed="false">
      <c r="B31" s="5" t="s">
        <v>107</v>
      </c>
      <c r="C31" s="5"/>
      <c r="D31" s="5"/>
    </row>
    <row r="32" customFormat="false" ht="15" hidden="false" customHeight="true" outlineLevel="0" collapsed="false">
      <c r="B32" s="23" t="s">
        <v>108</v>
      </c>
      <c r="C32" s="26" t="n">
        <v>2000000</v>
      </c>
      <c r="D32" s="25" t="s">
        <v>109</v>
      </c>
    </row>
    <row r="33" customFormat="false" ht="15" hidden="false" customHeight="true" outlineLevel="0" collapsed="false">
      <c r="B33" s="23" t="s">
        <v>110</v>
      </c>
      <c r="C33" s="28" t="n">
        <v>0.7325</v>
      </c>
      <c r="D33" s="25" t="s">
        <v>111</v>
      </c>
    </row>
    <row r="34" customFormat="false" ht="15" hidden="false" customHeight="true" outlineLevel="0" collapsed="false">
      <c r="B34" s="23" t="s">
        <v>112</v>
      </c>
      <c r="C34" s="28" t="n">
        <v>0.035</v>
      </c>
      <c r="D34" s="25" t="s">
        <v>113</v>
      </c>
    </row>
    <row r="35" customFormat="false" ht="15" hidden="false" customHeight="true" outlineLevel="0" collapsed="false">
      <c r="B35" s="23" t="s">
        <v>114</v>
      </c>
      <c r="C35" s="29" t="n">
        <v>25</v>
      </c>
    </row>
    <row r="37" customFormat="false" ht="15.75" hidden="false" customHeight="true" outlineLevel="0" collapsed="false">
      <c r="B37" s="5" t="s">
        <v>115</v>
      </c>
      <c r="C37" s="5"/>
      <c r="D37" s="5"/>
    </row>
    <row r="38" customFormat="false" ht="15" hidden="false" customHeight="true" outlineLevel="0" collapsed="false">
      <c r="B38" s="23" t="s">
        <v>116</v>
      </c>
      <c r="C38" s="26" t="n">
        <v>1000000</v>
      </c>
      <c r="D38" s="25" t="s">
        <v>117</v>
      </c>
    </row>
    <row r="39" customFormat="false" ht="15" hidden="false" customHeight="true" outlineLevel="0" collapsed="false">
      <c r="B39" s="23" t="s">
        <v>118</v>
      </c>
      <c r="C39" s="28" t="n">
        <v>0.7</v>
      </c>
    </row>
    <row r="40" customFormat="false" ht="15" hidden="false" customHeight="true" outlineLevel="0" collapsed="false">
      <c r="B40" s="23" t="s">
        <v>119</v>
      </c>
      <c r="C40" s="28" t="n">
        <v>0.05</v>
      </c>
      <c r="D40" s="25" t="s">
        <v>120</v>
      </c>
    </row>
    <row r="41" customFormat="false" ht="15" hidden="false" customHeight="true" outlineLevel="0" collapsed="false">
      <c r="B41" s="23" t="s">
        <v>121</v>
      </c>
      <c r="C41" s="29" t="n">
        <v>7</v>
      </c>
      <c r="D41" s="25" t="s">
        <v>122</v>
      </c>
    </row>
    <row r="43" customFormat="false" ht="15.75" hidden="false" customHeight="true" outlineLevel="0" collapsed="false">
      <c r="B43" s="5" t="s">
        <v>123</v>
      </c>
      <c r="C43" s="5"/>
      <c r="D43" s="5"/>
    </row>
    <row r="44" customFormat="false" ht="15" hidden="false" customHeight="true" outlineLevel="0" collapsed="false">
      <c r="B44" s="23" t="s">
        <v>124</v>
      </c>
      <c r="C44" s="29" t="n">
        <v>7</v>
      </c>
      <c r="D44" s="25" t="s">
        <v>125</v>
      </c>
    </row>
    <row r="45" customFormat="false" ht="15" hidden="false" customHeight="true" outlineLevel="0" collapsed="false">
      <c r="B45" s="23" t="s">
        <v>126</v>
      </c>
      <c r="C45" s="30" t="n">
        <v>5.5</v>
      </c>
    </row>
    <row r="46" customFormat="false" ht="15" hidden="false" customHeight="true" outlineLevel="0" collapsed="false">
      <c r="B46" s="23" t="s">
        <v>127</v>
      </c>
      <c r="C46" s="30" t="n">
        <v>6.5</v>
      </c>
    </row>
    <row r="47" customFormat="false" ht="15" hidden="false" customHeight="true" outlineLevel="0" collapsed="false">
      <c r="B47" s="23" t="s">
        <v>128</v>
      </c>
      <c r="C47" s="30" t="n">
        <v>7.5</v>
      </c>
    </row>
    <row r="48" customFormat="false" ht="15" hidden="false" customHeight="true" outlineLevel="0" collapsed="false">
      <c r="B48" s="23" t="s">
        <v>129</v>
      </c>
      <c r="C48" s="28" t="n">
        <v>0.04</v>
      </c>
      <c r="D48" s="25" t="s">
        <v>130</v>
      </c>
    </row>
    <row r="50" customFormat="false" ht="15.75" hidden="false" customHeight="true" outlineLevel="0" collapsed="false">
      <c r="B50" s="5" t="s">
        <v>131</v>
      </c>
      <c r="C50" s="5"/>
      <c r="D50" s="5"/>
    </row>
    <row r="51" customFormat="false" ht="13.5" hidden="false" customHeight="true" outlineLevel="0" collapsed="false">
      <c r="B51" s="31" t="s">
        <v>132</v>
      </c>
      <c r="C51" s="31" t="s">
        <v>133</v>
      </c>
      <c r="D51" s="31" t="s">
        <v>134</v>
      </c>
    </row>
    <row r="52" customFormat="false" ht="15" hidden="false" customHeight="true" outlineLevel="0" collapsed="false">
      <c r="B52" s="23" t="s">
        <v>135</v>
      </c>
      <c r="C52" s="27" t="n">
        <v>1</v>
      </c>
      <c r="D52" s="26" t="n">
        <v>55000</v>
      </c>
    </row>
    <row r="53" customFormat="false" ht="15" hidden="false" customHeight="true" outlineLevel="0" collapsed="false">
      <c r="B53" s="23" t="s">
        <v>136</v>
      </c>
      <c r="C53" s="27" t="n">
        <v>1</v>
      </c>
      <c r="D53" s="26" t="n">
        <v>55000</v>
      </c>
    </row>
    <row r="54" customFormat="false" ht="15" hidden="false" customHeight="true" outlineLevel="0" collapsed="false">
      <c r="B54" s="23" t="s">
        <v>137</v>
      </c>
      <c r="C54" s="27" t="n">
        <v>1</v>
      </c>
      <c r="D54" s="26" t="n">
        <v>45000</v>
      </c>
    </row>
    <row r="55" customFormat="false" ht="15" hidden="false" customHeight="true" outlineLevel="0" collapsed="false">
      <c r="B55" s="23" t="s">
        <v>138</v>
      </c>
      <c r="C55" s="27" t="n">
        <v>2</v>
      </c>
      <c r="D55" s="26" t="n">
        <v>58000</v>
      </c>
    </row>
    <row r="56" customFormat="false" ht="15" hidden="false" customHeight="true" outlineLevel="0" collapsed="false">
      <c r="B56" s="23" t="s">
        <v>139</v>
      </c>
      <c r="C56" s="27" t="n">
        <v>1</v>
      </c>
      <c r="D56" s="26" t="n">
        <v>20000</v>
      </c>
    </row>
    <row r="57" customFormat="false" ht="15" hidden="false" customHeight="true" outlineLevel="0" collapsed="false">
      <c r="B57" s="23" t="s">
        <v>140</v>
      </c>
      <c r="C57" s="27" t="n">
        <v>2</v>
      </c>
      <c r="D57" s="26" t="n">
        <v>58000</v>
      </c>
    </row>
    <row r="58" customFormat="false" ht="15" hidden="false" customHeight="true" outlineLevel="0" collapsed="false">
      <c r="B58" s="23" t="s">
        <v>141</v>
      </c>
      <c r="C58" s="27" t="n">
        <v>1</v>
      </c>
      <c r="D58" s="26" t="n">
        <v>40000</v>
      </c>
    </row>
    <row r="59" customFormat="false" ht="15" hidden="false" customHeight="true" outlineLevel="0" collapsed="false">
      <c r="B59" s="23" t="s">
        <v>142</v>
      </c>
      <c r="C59" s="27" t="n">
        <v>2</v>
      </c>
      <c r="D59" s="26" t="n">
        <v>50000</v>
      </c>
    </row>
    <row r="60" customFormat="false" ht="15" hidden="false" customHeight="true" outlineLevel="0" collapsed="false">
      <c r="B60" s="23" t="s">
        <v>143</v>
      </c>
      <c r="C60" s="27" t="n">
        <v>1</v>
      </c>
      <c r="D60" s="26" t="n">
        <v>33000</v>
      </c>
    </row>
    <row r="61" customFormat="false" ht="18" hidden="false" customHeight="true" outlineLevel="0" collapsed="false">
      <c r="B61" s="32" t="s">
        <v>144</v>
      </c>
      <c r="D61" s="33" t="n">
        <f aca="false">SUM(D52:D60)</f>
        <v>414000</v>
      </c>
    </row>
  </sheetData>
  <mergeCells count="9">
    <mergeCell ref="B1:D1"/>
    <mergeCell ref="B2:D2"/>
    <mergeCell ref="B4:D4"/>
    <mergeCell ref="B10:D10"/>
    <mergeCell ref="B19:D19"/>
    <mergeCell ref="B31:D31"/>
    <mergeCell ref="B37:D37"/>
    <mergeCell ref="B43:D43"/>
    <mergeCell ref="B50:D5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E3A5F"/>
    <pageSetUpPr fitToPage="false"/>
  </sheetPr>
  <dimension ref="B1:E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6"/>
    <col collapsed="false" customWidth="true" hidden="false" outlineLevel="0" max="4" min="3" style="1" width="18"/>
    <col collapsed="false" customWidth="true" hidden="false" outlineLevel="0" max="5" min="5" style="1" width="24"/>
    <col collapsed="false" customWidth="true" hidden="false" outlineLevel="0" max="6" min="6" style="1" width="2"/>
  </cols>
  <sheetData>
    <row r="1" customFormat="false" ht="30" hidden="false" customHeight="true" outlineLevel="0" collapsed="false">
      <c r="B1" s="21" t="s">
        <v>145</v>
      </c>
      <c r="C1" s="21"/>
      <c r="D1" s="21"/>
      <c r="E1" s="21"/>
    </row>
    <row r="3" customFormat="false" ht="15.75" hidden="false" customHeight="true" outlineLevel="0" collapsed="false">
      <c r="B3" s="5" t="s">
        <v>146</v>
      </c>
      <c r="C3" s="5"/>
      <c r="D3" s="5"/>
      <c r="E3" s="5"/>
    </row>
    <row r="4" customFormat="false" ht="15" hidden="false" customHeight="true" outlineLevel="0" collapsed="false">
      <c r="B4" s="23" t="s">
        <v>147</v>
      </c>
      <c r="C4" s="34" t="n">
        <f aca="false">Hypothèses!C32</f>
        <v>2000000</v>
      </c>
    </row>
    <row r="5" customFormat="false" ht="15" hidden="false" customHeight="true" outlineLevel="0" collapsed="false">
      <c r="B5" s="23" t="s">
        <v>148</v>
      </c>
      <c r="C5" s="34" t="n">
        <f aca="false">Hypothèses!C38</f>
        <v>1000000</v>
      </c>
    </row>
    <row r="6" customFormat="false" ht="15" hidden="false" customHeight="true" outlineLevel="0" collapsed="false">
      <c r="B6" s="23" t="s">
        <v>149</v>
      </c>
      <c r="C6" s="34" t="n">
        <f aca="false">Hypothèses!C6</f>
        <v>0</v>
      </c>
    </row>
    <row r="7" customFormat="false" ht="15.75" hidden="false" customHeight="true" outlineLevel="0" collapsed="false">
      <c r="B7" s="5" t="s">
        <v>150</v>
      </c>
      <c r="C7" s="5"/>
      <c r="D7" s="5"/>
      <c r="E7" s="5"/>
    </row>
    <row r="8" customFormat="false" ht="15" hidden="false" customHeight="true" outlineLevel="0" collapsed="false">
      <c r="B8" s="23" t="s">
        <v>151</v>
      </c>
      <c r="C8" s="34" t="n">
        <f aca="false">Hypothèses!C32*0.08</f>
        <v>160000</v>
      </c>
    </row>
    <row r="9" customFormat="false" ht="15" hidden="false" customHeight="true" outlineLevel="0" collapsed="false">
      <c r="B9" s="23" t="s">
        <v>152</v>
      </c>
      <c r="C9" s="26" t="n">
        <v>30000</v>
      </c>
    </row>
    <row r="10" customFormat="false" ht="15" hidden="false" customHeight="true" outlineLevel="0" collapsed="false">
      <c r="B10" s="23" t="s">
        <v>153</v>
      </c>
      <c r="C10" s="26" t="n">
        <v>15000</v>
      </c>
    </row>
    <row r="11" customFormat="false" ht="15" hidden="false" customHeight="true" outlineLevel="0" collapsed="false">
      <c r="B11" s="23" t="s">
        <v>154</v>
      </c>
      <c r="C11" s="26" t="n">
        <v>80000</v>
      </c>
    </row>
    <row r="12" customFormat="false" ht="15" hidden="false" customHeight="true" outlineLevel="0" collapsed="false">
      <c r="B12" s="23" t="s">
        <v>155</v>
      </c>
      <c r="C12" s="34" t="n">
        <f aca="false">Hypothèses!C7</f>
        <v>60000</v>
      </c>
    </row>
    <row r="13" customFormat="false" ht="15" hidden="false" customHeight="true" outlineLevel="0" collapsed="false">
      <c r="B13" s="23" t="s">
        <v>156</v>
      </c>
      <c r="C13" s="34" t="n">
        <f aca="false">(Hypothèses!C32+Hypothèses!C38)*0.02</f>
        <v>60000</v>
      </c>
    </row>
    <row r="14" customFormat="false" ht="15.75" hidden="false" customHeight="true" outlineLevel="0" collapsed="false">
      <c r="B14" s="5" t="s">
        <v>157</v>
      </c>
      <c r="C14" s="5"/>
      <c r="D14" s="5"/>
      <c r="E14" s="5"/>
    </row>
    <row r="15" customFormat="false" ht="15" hidden="false" customHeight="true" outlineLevel="0" collapsed="false">
      <c r="B15" s="23" t="s">
        <v>158</v>
      </c>
      <c r="C15" s="35" t="n">
        <f aca="false">SUM(C4:C6)</f>
        <v>3000000</v>
      </c>
    </row>
    <row r="16" customFormat="false" ht="15" hidden="false" customHeight="true" outlineLevel="0" collapsed="false">
      <c r="B16" s="23" t="s">
        <v>159</v>
      </c>
      <c r="C16" s="35" t="n">
        <f aca="false">SUM(C8:C13)</f>
        <v>405000</v>
      </c>
    </row>
    <row r="17" customFormat="false" ht="18" hidden="false" customHeight="true" outlineLevel="0" collapsed="false">
      <c r="B17" s="36" t="s">
        <v>160</v>
      </c>
      <c r="C17" s="33" t="n">
        <f aca="false">C15+C16</f>
        <v>3405000</v>
      </c>
    </row>
    <row r="19" customFormat="false" ht="15.75" hidden="false" customHeight="true" outlineLevel="0" collapsed="false">
      <c r="B19" s="5" t="s">
        <v>161</v>
      </c>
      <c r="C19" s="5"/>
      <c r="D19" s="5"/>
      <c r="E19" s="5"/>
    </row>
    <row r="20" customFormat="false" ht="13.5" hidden="false" customHeight="true" outlineLevel="0" collapsed="false">
      <c r="B20" s="31" t="s">
        <v>162</v>
      </c>
      <c r="C20" s="31" t="s">
        <v>163</v>
      </c>
      <c r="D20" s="31" t="s">
        <v>164</v>
      </c>
      <c r="E20" s="31" t="s">
        <v>165</v>
      </c>
    </row>
    <row r="21" customFormat="false" ht="15" hidden="false" customHeight="true" outlineLevel="0" collapsed="false">
      <c r="B21" s="23" t="s">
        <v>166</v>
      </c>
      <c r="C21" s="34" t="n">
        <f aca="false">Hypothèses!C32</f>
        <v>2000000</v>
      </c>
      <c r="D21" s="37" t="n">
        <f aca="false">IF(C17=0,0,C21/C17)</f>
        <v>0.587371512481645</v>
      </c>
      <c r="E21" s="25" t="s">
        <v>167</v>
      </c>
    </row>
    <row r="22" customFormat="false" ht="15" hidden="false" customHeight="true" outlineLevel="0" collapsed="false">
      <c r="B22" s="23" t="s">
        <v>168</v>
      </c>
      <c r="C22" s="34" t="n">
        <f aca="false">Hypothèses!C38</f>
        <v>1000000</v>
      </c>
      <c r="D22" s="37" t="n">
        <f aca="false">IF(C17=0,0,C22/C17)</f>
        <v>0.293685756240822</v>
      </c>
      <c r="E22" s="25" t="s">
        <v>169</v>
      </c>
    </row>
    <row r="23" customFormat="false" ht="15" hidden="false" customHeight="true" outlineLevel="0" collapsed="false">
      <c r="B23" s="23" t="s">
        <v>170</v>
      </c>
      <c r="C23" s="35" t="n">
        <f aca="false">C16</f>
        <v>405000</v>
      </c>
      <c r="D23" s="37" t="n">
        <f aca="false">IF(C17=0,0,C23/C17)</f>
        <v>0.118942731277533</v>
      </c>
      <c r="E23" s="25" t="s">
        <v>171</v>
      </c>
    </row>
  </sheetData>
  <mergeCells count="5">
    <mergeCell ref="B1:E1"/>
    <mergeCell ref="B3:E3"/>
    <mergeCell ref="B7:E7"/>
    <mergeCell ref="B14:E14"/>
    <mergeCell ref="B19:E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E3A5F"/>
    <pageSetUpPr fitToPage="false"/>
  </sheetPr>
  <dimension ref="B1:G4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2"/>
    <col collapsed="false" customWidth="true" hidden="false" outlineLevel="0" max="3" min="3" style="1" width="18"/>
    <col collapsed="false" customWidth="true" hidden="false" outlineLevel="0" max="4" min="4" style="1" width="14"/>
    <col collapsed="false" customWidth="true" hidden="false" outlineLevel="0" max="5" min="5" style="1" width="20"/>
    <col collapsed="false" customWidth="true" hidden="false" outlineLevel="0" max="7" min="6" style="1" width="18"/>
    <col collapsed="false" customWidth="true" hidden="false" outlineLevel="0" max="8" min="8" style="1" width="2"/>
  </cols>
  <sheetData>
    <row r="1" customFormat="false" ht="30" hidden="false" customHeight="true" outlineLevel="0" collapsed="false">
      <c r="B1" s="21" t="s">
        <v>172</v>
      </c>
      <c r="C1" s="21"/>
      <c r="D1" s="21"/>
      <c r="E1" s="21"/>
      <c r="F1" s="21"/>
      <c r="G1" s="21"/>
    </row>
    <row r="3" customFormat="false" ht="15.75" hidden="false" customHeight="true" outlineLevel="0" collapsed="false">
      <c r="B3" s="5" t="s">
        <v>173</v>
      </c>
      <c r="C3" s="5"/>
      <c r="D3" s="5"/>
      <c r="E3" s="5"/>
      <c r="F3" s="5"/>
      <c r="G3" s="5"/>
    </row>
    <row r="4" customFormat="false" ht="13.5" hidden="false" customHeight="true" outlineLevel="0" collapsed="false">
      <c r="B4" s="31" t="s">
        <v>132</v>
      </c>
      <c r="C4" s="31" t="s">
        <v>163</v>
      </c>
      <c r="D4" s="31" t="s">
        <v>164</v>
      </c>
      <c r="E4" s="31" t="s">
        <v>174</v>
      </c>
      <c r="F4" s="31" t="s">
        <v>175</v>
      </c>
      <c r="G4" s="31" t="s">
        <v>176</v>
      </c>
    </row>
    <row r="5" customFormat="false" ht="15.75" hidden="false" customHeight="true" outlineLevel="0" collapsed="false">
      <c r="B5" s="5" t="s">
        <v>177</v>
      </c>
      <c r="C5" s="5"/>
      <c r="D5" s="5"/>
      <c r="E5" s="5"/>
      <c r="F5" s="5"/>
      <c r="G5" s="5"/>
    </row>
    <row r="6" customFormat="false" ht="15" hidden="false" customHeight="true" outlineLevel="0" collapsed="false">
      <c r="B6" s="23" t="s">
        <v>178</v>
      </c>
      <c r="C6" s="26" t="n">
        <v>535000</v>
      </c>
      <c r="D6" s="37" t="n">
        <f aca="false">IF('Budget Acquisition'!C17=0,0,C6/'Budget Acquisition'!C17)</f>
        <v>0.15712187958884</v>
      </c>
    </row>
    <row r="7" customFormat="false" ht="15" hidden="false" customHeight="true" outlineLevel="0" collapsed="false">
      <c r="B7" s="23" t="s">
        <v>179</v>
      </c>
      <c r="C7" s="26" t="n">
        <v>800000</v>
      </c>
      <c r="D7" s="37" t="n">
        <f aca="false">IF('Budget Acquisition'!C17=0,0,C7/'Budget Acquisition'!C17)</f>
        <v>0.234948604992658</v>
      </c>
    </row>
    <row r="8" customFormat="false" ht="15" hidden="false" customHeight="true" outlineLevel="0" collapsed="false">
      <c r="B8" s="23" t="s">
        <v>180</v>
      </c>
      <c r="C8" s="26" t="n">
        <v>15035</v>
      </c>
      <c r="D8" s="37" t="n">
        <f aca="false">IF('Budget Acquisition'!C17=0,0,C8/'Budget Acquisition'!C17)</f>
        <v>0.00441556534508076</v>
      </c>
    </row>
    <row r="9" customFormat="false" ht="18" hidden="false" customHeight="true" outlineLevel="0" collapsed="false">
      <c r="B9" s="32" t="s">
        <v>181</v>
      </c>
      <c r="C9" s="33" t="n">
        <f aca="false">SUM(C6:C8)</f>
        <v>1350035</v>
      </c>
      <c r="D9" s="38" t="n">
        <f aca="false">IF('Budget Acquisition'!C17=0,0,C9/'Budget Acquisition'!C17)</f>
        <v>0.396486049926579</v>
      </c>
    </row>
    <row r="11" customFormat="false" ht="15.75" hidden="false" customHeight="true" outlineLevel="0" collapsed="false">
      <c r="B11" s="5" t="s">
        <v>182</v>
      </c>
      <c r="C11" s="5"/>
      <c r="D11" s="5"/>
      <c r="E11" s="5"/>
      <c r="F11" s="5"/>
      <c r="G11" s="5"/>
    </row>
    <row r="12" customFormat="false" ht="15" hidden="false" customHeight="true" outlineLevel="0" collapsed="false">
      <c r="B12" s="23" t="s">
        <v>183</v>
      </c>
      <c r="C12" s="34" t="n">
        <f aca="false">Hypothèses!C32*Hypothèses!C33</f>
        <v>1465000</v>
      </c>
      <c r="D12" s="37" t="n">
        <f aca="false">IF('Budget Acquisition'!C17=0,0,C12/'Budget Acquisition'!C17)</f>
        <v>0.430249632892805</v>
      </c>
      <c r="E12" s="39" t="n">
        <f aca="false">Hypothèses!C34</f>
        <v>0.035</v>
      </c>
      <c r="F12" s="40" t="n">
        <f aca="false">Hypothèses!C35</f>
        <v>25</v>
      </c>
      <c r="G12" s="35" t="n">
        <f aca="false">IFERROR(PMT(Hypothèses!C34,Hypothèses!C35,-C12),0)</f>
        <v>88887.4618771792</v>
      </c>
    </row>
    <row r="13" customFormat="false" ht="15" hidden="false" customHeight="true" outlineLevel="0" collapsed="false">
      <c r="B13" s="23" t="s">
        <v>184</v>
      </c>
      <c r="C13" s="34" t="n">
        <f aca="false">Hypothèses!C38*Hypothèses!C39</f>
        <v>700000</v>
      </c>
      <c r="D13" s="37" t="n">
        <f aca="false">IF('Budget Acquisition'!C17=0,0,C13/'Budget Acquisition'!C17)</f>
        <v>0.205580029368576</v>
      </c>
      <c r="E13" s="39" t="n">
        <f aca="false">Hypothèses!C40</f>
        <v>0.05</v>
      </c>
      <c r="F13" s="40" t="n">
        <f aca="false">Hypothèses!C41</f>
        <v>7</v>
      </c>
      <c r="G13" s="35" t="n">
        <f aca="false">IFERROR(PMT(Hypothèses!C40,Hypothèses!C41,-C13),0)</f>
        <v>120973.87291232</v>
      </c>
    </row>
    <row r="14" customFormat="false" ht="18" hidden="false" customHeight="true" outlineLevel="0" collapsed="false">
      <c r="B14" s="32" t="s">
        <v>185</v>
      </c>
      <c r="C14" s="33" t="n">
        <f aca="false">C12+C13</f>
        <v>2165000</v>
      </c>
      <c r="D14" s="38" t="n">
        <f aca="false">IF('Budget Acquisition'!C17=0,0,C14/'Budget Acquisition'!C17)</f>
        <v>0.63582966226138</v>
      </c>
      <c r="G14" s="33" t="n">
        <f aca="false">G12+G13</f>
        <v>209861.334789499</v>
      </c>
    </row>
    <row r="16" customFormat="false" ht="15.75" hidden="false" customHeight="true" outlineLevel="0" collapsed="false">
      <c r="B16" s="5" t="s">
        <v>186</v>
      </c>
      <c r="C16" s="5"/>
      <c r="D16" s="5"/>
      <c r="E16" s="5"/>
      <c r="F16" s="5"/>
      <c r="G16" s="5"/>
    </row>
    <row r="17" customFormat="false" ht="15" hidden="false" customHeight="true" outlineLevel="0" collapsed="false">
      <c r="B17" s="23" t="s">
        <v>187</v>
      </c>
      <c r="C17" s="39" t="n">
        <f aca="false">Hypothèses!C33</f>
        <v>0.7325</v>
      </c>
    </row>
    <row r="18" customFormat="false" ht="15" hidden="false" customHeight="true" outlineLevel="0" collapsed="false">
      <c r="B18" s="23" t="s">
        <v>188</v>
      </c>
      <c r="C18" s="39" t="n">
        <f aca="false">Hypothèses!C39</f>
        <v>0.7</v>
      </c>
    </row>
    <row r="19" customFormat="false" ht="15" hidden="false" customHeight="true" outlineLevel="0" collapsed="false">
      <c r="B19" s="23" t="s">
        <v>189</v>
      </c>
      <c r="C19" s="37" t="n">
        <f aca="false">IF('Budget Acquisition'!C17=0,0,C14/'Budget Acquisition'!C17)</f>
        <v>0.63582966226138</v>
      </c>
    </row>
    <row r="20" customFormat="false" ht="15" hidden="false" customHeight="true" outlineLevel="0" collapsed="false">
      <c r="B20" s="23" t="s">
        <v>190</v>
      </c>
      <c r="C20" s="37" t="n">
        <f aca="false">IF('Budget Acquisition'!C17=0,0,C9/'Budget Acquisition'!C17)</f>
        <v>0.396486049926579</v>
      </c>
    </row>
    <row r="22" customFormat="false" ht="15.75" hidden="false" customHeight="true" outlineLevel="0" collapsed="false">
      <c r="B22" s="5" t="s">
        <v>191</v>
      </c>
      <c r="C22" s="5"/>
      <c r="D22" s="5"/>
      <c r="E22" s="5"/>
      <c r="F22" s="5"/>
      <c r="G22" s="5"/>
    </row>
    <row r="23" customFormat="false" ht="13.5" hidden="false" customHeight="true" outlineLevel="0" collapsed="false">
      <c r="B23" s="31" t="s">
        <v>192</v>
      </c>
      <c r="C23" s="31" t="s">
        <v>193</v>
      </c>
      <c r="D23" s="31" t="s">
        <v>194</v>
      </c>
      <c r="E23" s="31" t="s">
        <v>195</v>
      </c>
      <c r="F23" s="31" t="s">
        <v>176</v>
      </c>
      <c r="G23" s="31" t="s">
        <v>196</v>
      </c>
    </row>
    <row r="24" customFormat="false" ht="12.75" hidden="false" customHeight="true" outlineLevel="0" collapsed="false">
      <c r="B24" s="41" t="n">
        <f aca="false">Hypothèses!C8+0</f>
        <v>2026</v>
      </c>
      <c r="C24" s="42" t="n">
        <f aca="false">C12</f>
        <v>1465000</v>
      </c>
      <c r="D24" s="42" t="n">
        <f aca="false">C24*Hypothèses!C34</f>
        <v>51275</v>
      </c>
      <c r="E24" s="42" t="n">
        <f aca="false">IFERROR(PMT(Hypothèses!C34,Hypothèses!C35,-C12),0)</f>
        <v>88887.4618771792</v>
      </c>
      <c r="F24" s="42" t="n">
        <f aca="false">E24-D24</f>
        <v>37612.4618771792</v>
      </c>
      <c r="G24" s="42" t="n">
        <f aca="false">MAX(0,C24-F24)</f>
        <v>1427387.53812282</v>
      </c>
    </row>
    <row r="25" customFormat="false" ht="12.75" hidden="false" customHeight="true" outlineLevel="0" collapsed="false">
      <c r="B25" s="41" t="n">
        <f aca="false">Hypothèses!C8+1</f>
        <v>2027</v>
      </c>
      <c r="C25" s="42" t="n">
        <f aca="false">G24</f>
        <v>1427387.53812282</v>
      </c>
      <c r="D25" s="42" t="n">
        <f aca="false">C25*Hypothèses!C34</f>
        <v>49958.5638342987</v>
      </c>
      <c r="E25" s="42" t="n">
        <f aca="false">IFERROR(PMT(Hypothèses!C34,Hypothèses!C35,-C12),0)</f>
        <v>88887.4618771792</v>
      </c>
      <c r="F25" s="42" t="n">
        <f aca="false">E25-D25</f>
        <v>38928.8980428805</v>
      </c>
      <c r="G25" s="42" t="n">
        <f aca="false">MAX(0,C25-F25)</f>
        <v>1388458.64007994</v>
      </c>
    </row>
    <row r="26" customFormat="false" ht="12.75" hidden="false" customHeight="true" outlineLevel="0" collapsed="false">
      <c r="B26" s="41" t="n">
        <f aca="false">Hypothèses!C8+2</f>
        <v>2028</v>
      </c>
      <c r="C26" s="42" t="n">
        <f aca="false">G25</f>
        <v>1388458.64007994</v>
      </c>
      <c r="D26" s="42" t="n">
        <f aca="false">C26*Hypothèses!C34</f>
        <v>48596.0524027979</v>
      </c>
      <c r="E26" s="42" t="n">
        <f aca="false">IFERROR(PMT(Hypothèses!C34,Hypothèses!C35,-C12),0)</f>
        <v>88887.4618771792</v>
      </c>
      <c r="F26" s="42" t="n">
        <f aca="false">E26-D26</f>
        <v>40291.4094743813</v>
      </c>
      <c r="G26" s="42" t="n">
        <f aca="false">MAX(0,C26-F26)</f>
        <v>1348167.23060556</v>
      </c>
    </row>
    <row r="27" customFormat="false" ht="12.75" hidden="false" customHeight="true" outlineLevel="0" collapsed="false">
      <c r="B27" s="41" t="n">
        <f aca="false">Hypothèses!C8+3</f>
        <v>2029</v>
      </c>
      <c r="C27" s="42" t="n">
        <f aca="false">G26</f>
        <v>1348167.23060556</v>
      </c>
      <c r="D27" s="42" t="n">
        <f aca="false">C27*Hypothèses!C34</f>
        <v>47185.8530711946</v>
      </c>
      <c r="E27" s="42" t="n">
        <f aca="false">IFERROR(PMT(Hypothèses!C34,Hypothèses!C35,-C12),0)</f>
        <v>88887.4618771792</v>
      </c>
      <c r="F27" s="42" t="n">
        <f aca="false">E27-D27</f>
        <v>41701.6088059847</v>
      </c>
      <c r="G27" s="42" t="n">
        <f aca="false">MAX(0,C27-F27)</f>
        <v>1306465.62179957</v>
      </c>
    </row>
    <row r="28" customFormat="false" ht="12.75" hidden="false" customHeight="true" outlineLevel="0" collapsed="false">
      <c r="B28" s="41" t="n">
        <f aca="false">Hypothèses!C8+4</f>
        <v>2030</v>
      </c>
      <c r="C28" s="42" t="n">
        <f aca="false">G27</f>
        <v>1306465.62179957</v>
      </c>
      <c r="D28" s="42" t="n">
        <f aca="false">C28*Hypothèses!C34</f>
        <v>45726.2967629851</v>
      </c>
      <c r="E28" s="42" t="n">
        <f aca="false">IFERROR(PMT(Hypothèses!C34,Hypothèses!C35,-C12),0)</f>
        <v>88887.4618771792</v>
      </c>
      <c r="F28" s="42" t="n">
        <f aca="false">E28-D28</f>
        <v>43161.1651141941</v>
      </c>
      <c r="G28" s="42" t="n">
        <f aca="false">MAX(0,C28-F28)</f>
        <v>1263304.45668538</v>
      </c>
    </row>
    <row r="29" customFormat="false" ht="12.75" hidden="false" customHeight="true" outlineLevel="0" collapsed="false">
      <c r="B29" s="41" t="n">
        <f aca="false">Hypothèses!C8+5</f>
        <v>2031</v>
      </c>
      <c r="C29" s="42" t="n">
        <f aca="false">G28</f>
        <v>1263304.45668538</v>
      </c>
      <c r="D29" s="42" t="n">
        <f aca="false">C29*Hypothèses!C34</f>
        <v>44215.6559839883</v>
      </c>
      <c r="E29" s="42" t="n">
        <f aca="false">IFERROR(PMT(Hypothèses!C34,Hypothèses!C35,-C12),0)</f>
        <v>88887.4618771792</v>
      </c>
      <c r="F29" s="42" t="n">
        <f aca="false">E29-D29</f>
        <v>44671.8058931909</v>
      </c>
      <c r="G29" s="42" t="n">
        <f aca="false">MAX(0,C29-F29)</f>
        <v>1218632.65079219</v>
      </c>
    </row>
    <row r="30" customFormat="false" ht="12.75" hidden="false" customHeight="true" outlineLevel="0" collapsed="false">
      <c r="B30" s="41" t="n">
        <f aca="false">Hypothèses!C8+6</f>
        <v>2032</v>
      </c>
      <c r="C30" s="42" t="n">
        <f aca="false">G29</f>
        <v>1218632.65079219</v>
      </c>
      <c r="D30" s="42" t="n">
        <f aca="false">C30*Hypothèses!C34</f>
        <v>42652.1427777266</v>
      </c>
      <c r="E30" s="42" t="n">
        <f aca="false">IFERROR(PMT(Hypothèses!C34,Hypothèses!C35,-C12),0)</f>
        <v>88887.4618771792</v>
      </c>
      <c r="F30" s="42" t="n">
        <f aca="false">E30-D30</f>
        <v>46235.3190994526</v>
      </c>
      <c r="G30" s="42" t="n">
        <f aca="false">MAX(0,C30-F30)</f>
        <v>1172397.33169274</v>
      </c>
    </row>
    <row r="31" customFormat="false" ht="12.75" hidden="false" customHeight="true" outlineLevel="0" collapsed="false">
      <c r="B31" s="43" t="n">
        <f aca="false">Hypothèses!C8+7</f>
        <v>2033</v>
      </c>
      <c r="C31" s="44" t="n">
        <f aca="false">G30</f>
        <v>1172397.33169274</v>
      </c>
      <c r="D31" s="44" t="n">
        <f aca="false">C31*Hypothèses!C34</f>
        <v>41033.9066092458</v>
      </c>
      <c r="E31" s="44" t="n">
        <f aca="false">IFERROR(PMT(Hypothèses!C34,Hypothèses!C35,-C12),0)</f>
        <v>88887.4618771792</v>
      </c>
      <c r="F31" s="44" t="n">
        <f aca="false">E31-D31</f>
        <v>47853.5552679334</v>
      </c>
      <c r="G31" s="44" t="n">
        <f aca="false">MAX(0,C31-F31)</f>
        <v>1124543.7764248</v>
      </c>
    </row>
    <row r="32" customFormat="false" ht="12.75" hidden="false" customHeight="true" outlineLevel="0" collapsed="false">
      <c r="B32" s="43" t="n">
        <f aca="false">Hypothèses!C8+8</f>
        <v>2034</v>
      </c>
      <c r="C32" s="44" t="n">
        <f aca="false">G31</f>
        <v>1124543.7764248</v>
      </c>
      <c r="D32" s="44" t="n">
        <f aca="false">C32*Hypothèses!C34</f>
        <v>39359.0321748681</v>
      </c>
      <c r="E32" s="44" t="n">
        <f aca="false">IFERROR(PMT(Hypothèses!C34,Hypothèses!C35,-C12),0)</f>
        <v>88887.4618771792</v>
      </c>
      <c r="F32" s="44" t="n">
        <f aca="false">E32-D32</f>
        <v>49528.4297023111</v>
      </c>
      <c r="G32" s="44" t="n">
        <f aca="false">MAX(0,C32-F32)</f>
        <v>1075015.34672249</v>
      </c>
    </row>
    <row r="33" customFormat="false" ht="12.75" hidden="false" customHeight="true" outlineLevel="0" collapsed="false">
      <c r="B33" s="43" t="n">
        <f aca="false">Hypothèses!C8+9</f>
        <v>2035</v>
      </c>
      <c r="C33" s="44" t="n">
        <f aca="false">G32</f>
        <v>1075015.34672249</v>
      </c>
      <c r="D33" s="44" t="n">
        <f aca="false">C33*Hypothèses!C34</f>
        <v>37625.5371352872</v>
      </c>
      <c r="E33" s="44" t="n">
        <f aca="false">IFERROR(PMT(Hypothèses!C34,Hypothèses!C35,-C12),0)</f>
        <v>88887.4618771792</v>
      </c>
      <c r="F33" s="44" t="n">
        <f aca="false">E33-D33</f>
        <v>51261.924741892</v>
      </c>
      <c r="G33" s="44" t="n">
        <f aca="false">MAX(0,C33-F33)</f>
        <v>1023753.4219806</v>
      </c>
    </row>
    <row r="34" customFormat="false" ht="12.75" hidden="false" customHeight="true" outlineLevel="0" collapsed="false">
      <c r="B34" s="43" t="n">
        <f aca="false">Hypothèses!C8+10</f>
        <v>2036</v>
      </c>
      <c r="C34" s="44" t="n">
        <f aca="false">G33</f>
        <v>1023753.4219806</v>
      </c>
      <c r="D34" s="44" t="n">
        <f aca="false">C34*Hypothèses!C34</f>
        <v>35831.369769321</v>
      </c>
      <c r="E34" s="44" t="n">
        <f aca="false">IFERROR(PMT(Hypothèses!C34,Hypothèses!C35,-C12),0)</f>
        <v>88887.4618771792</v>
      </c>
      <c r="F34" s="44" t="n">
        <f aca="false">E34-D34</f>
        <v>53056.0921078582</v>
      </c>
      <c r="G34" s="44" t="n">
        <f aca="false">MAX(0,C34-F34)</f>
        <v>970697.329872742</v>
      </c>
    </row>
    <row r="35" customFormat="false" ht="12.75" hidden="false" customHeight="true" outlineLevel="0" collapsed="false">
      <c r="B35" s="43" t="n">
        <f aca="false">Hypothèses!C8+11</f>
        <v>2037</v>
      </c>
      <c r="C35" s="44" t="n">
        <f aca="false">G34</f>
        <v>970697.329872742</v>
      </c>
      <c r="D35" s="44" t="n">
        <f aca="false">C35*Hypothèses!C34</f>
        <v>33974.406545546</v>
      </c>
      <c r="E35" s="44" t="n">
        <f aca="false">IFERROR(PMT(Hypothèses!C34,Hypothèses!C35,-C12),0)</f>
        <v>88887.4618771792</v>
      </c>
      <c r="F35" s="44" t="n">
        <f aca="false">E35-D35</f>
        <v>54913.0553316333</v>
      </c>
      <c r="G35" s="44" t="n">
        <f aca="false">MAX(0,C35-F35)</f>
        <v>915784.274541108</v>
      </c>
    </row>
    <row r="36" customFormat="false" ht="12.75" hidden="false" customHeight="true" outlineLevel="0" collapsed="false">
      <c r="B36" s="43" t="n">
        <f aca="false">Hypothèses!C8+12</f>
        <v>2038</v>
      </c>
      <c r="C36" s="44" t="n">
        <f aca="false">G35</f>
        <v>915784.274541108</v>
      </c>
      <c r="D36" s="44" t="n">
        <f aca="false">C36*Hypothèses!C34</f>
        <v>32052.4496089388</v>
      </c>
      <c r="E36" s="44" t="n">
        <f aca="false">IFERROR(PMT(Hypothèses!C34,Hypothèses!C35,-C12),0)</f>
        <v>88887.4618771792</v>
      </c>
      <c r="F36" s="44" t="n">
        <f aca="false">E36-D36</f>
        <v>56835.0122682404</v>
      </c>
      <c r="G36" s="44" t="n">
        <f aca="false">MAX(0,C36-F36)</f>
        <v>858949.262272868</v>
      </c>
    </row>
    <row r="37" customFormat="false" ht="12.75" hidden="false" customHeight="true" outlineLevel="0" collapsed="false">
      <c r="B37" s="43" t="n">
        <f aca="false">Hypothèses!C8+13</f>
        <v>2039</v>
      </c>
      <c r="C37" s="44" t="n">
        <f aca="false">G36</f>
        <v>858949.262272868</v>
      </c>
      <c r="D37" s="44" t="n">
        <f aca="false">C37*Hypothèses!C34</f>
        <v>30063.2241795504</v>
      </c>
      <c r="E37" s="44" t="n">
        <f aca="false">IFERROR(PMT(Hypothèses!C34,Hypothèses!C35,-C12),0)</f>
        <v>88887.4618771792</v>
      </c>
      <c r="F37" s="44" t="n">
        <f aca="false">E37-D37</f>
        <v>58824.2376976289</v>
      </c>
      <c r="G37" s="44" t="n">
        <f aca="false">MAX(0,C37-F37)</f>
        <v>800125.024575239</v>
      </c>
    </row>
    <row r="38" customFormat="false" ht="12.75" hidden="false" customHeight="true" outlineLevel="0" collapsed="false">
      <c r="B38" s="43" t="n">
        <f aca="false">Hypothèses!C8+14</f>
        <v>2040</v>
      </c>
      <c r="C38" s="44" t="n">
        <f aca="false">G37</f>
        <v>800125.024575239</v>
      </c>
      <c r="D38" s="44" t="n">
        <f aca="false">C38*Hypothèses!C34</f>
        <v>28004.3758601334</v>
      </c>
      <c r="E38" s="44" t="n">
        <f aca="false">IFERROR(PMT(Hypothèses!C34,Hypothèses!C35,-C12),0)</f>
        <v>88887.4618771792</v>
      </c>
      <c r="F38" s="44" t="n">
        <f aca="false">E38-D38</f>
        <v>60883.0860170459</v>
      </c>
      <c r="G38" s="44" t="n">
        <f aca="false">MAX(0,C38-F38)</f>
        <v>739241.938558193</v>
      </c>
    </row>
    <row r="39" customFormat="false" ht="12.75" hidden="false" customHeight="true" outlineLevel="0" collapsed="false">
      <c r="B39" s="43" t="n">
        <f aca="false">Hypothèses!C8+15</f>
        <v>2041</v>
      </c>
      <c r="C39" s="44" t="n">
        <f aca="false">G38</f>
        <v>739241.938558193</v>
      </c>
      <c r="D39" s="44" t="n">
        <f aca="false">C39*Hypothèses!C34</f>
        <v>25873.4678495368</v>
      </c>
      <c r="E39" s="44" t="n">
        <f aca="false">IFERROR(PMT(Hypothèses!C34,Hypothèses!C35,-C12),0)</f>
        <v>88887.4618771792</v>
      </c>
      <c r="F39" s="44" t="n">
        <f aca="false">E39-D39</f>
        <v>63013.9940276425</v>
      </c>
      <c r="G39" s="44" t="n">
        <f aca="false">MAX(0,C39-F39)</f>
        <v>676227.944530551</v>
      </c>
    </row>
    <row r="40" customFormat="false" ht="12.75" hidden="false" customHeight="true" outlineLevel="0" collapsed="false">
      <c r="B40" s="43" t="n">
        <f aca="false">Hypothèses!C8+16</f>
        <v>2042</v>
      </c>
      <c r="C40" s="44" t="n">
        <f aca="false">G39</f>
        <v>676227.944530551</v>
      </c>
      <c r="D40" s="44" t="n">
        <f aca="false">C40*Hypothèses!C34</f>
        <v>23667.9780585693</v>
      </c>
      <c r="E40" s="44" t="n">
        <f aca="false">IFERROR(PMT(Hypothèses!C34,Hypothèses!C35,-C12),0)</f>
        <v>88887.4618771792</v>
      </c>
      <c r="F40" s="44" t="n">
        <f aca="false">E40-D40</f>
        <v>65219.48381861</v>
      </c>
      <c r="G40" s="44" t="n">
        <f aca="false">MAX(0,C40-F40)</f>
        <v>611008.460711941</v>
      </c>
    </row>
    <row r="41" customFormat="false" ht="12.75" hidden="false" customHeight="true" outlineLevel="0" collapsed="false">
      <c r="B41" s="43" t="n">
        <f aca="false">Hypothèses!C8+17</f>
        <v>2043</v>
      </c>
      <c r="C41" s="44" t="n">
        <f aca="false">G40</f>
        <v>611008.460711941</v>
      </c>
      <c r="D41" s="44" t="n">
        <f aca="false">C41*Hypothèses!C34</f>
        <v>21385.2961249179</v>
      </c>
      <c r="E41" s="44" t="n">
        <f aca="false">IFERROR(PMT(Hypothèses!C34,Hypothèses!C35,-C12),0)</f>
        <v>88887.4618771792</v>
      </c>
      <c r="F41" s="44" t="n">
        <f aca="false">E41-D41</f>
        <v>67502.1657522613</v>
      </c>
      <c r="G41" s="44" t="n">
        <f aca="false">MAX(0,C41-F41)</f>
        <v>543506.29495968</v>
      </c>
    </row>
    <row r="42" customFormat="false" ht="12.75" hidden="false" customHeight="true" outlineLevel="0" collapsed="false">
      <c r="B42" s="43" t="n">
        <f aca="false">Hypothèses!C8+18</f>
        <v>2044</v>
      </c>
      <c r="C42" s="44" t="n">
        <f aca="false">G41</f>
        <v>543506.29495968</v>
      </c>
      <c r="D42" s="44" t="n">
        <f aca="false">C42*Hypothèses!C34</f>
        <v>19022.7203235888</v>
      </c>
      <c r="E42" s="44" t="n">
        <f aca="false">IFERROR(PMT(Hypothèses!C34,Hypothèses!C35,-C12),0)</f>
        <v>88887.4618771792</v>
      </c>
      <c r="F42" s="44" t="n">
        <f aca="false">E42-D42</f>
        <v>69864.7415535904</v>
      </c>
      <c r="G42" s="44" t="n">
        <f aca="false">MAX(0,C42-F42)</f>
        <v>473641.553406089</v>
      </c>
    </row>
    <row r="43" customFormat="false" ht="12.75" hidden="false" customHeight="true" outlineLevel="0" collapsed="false">
      <c r="B43" s="43" t="n">
        <f aca="false">Hypothèses!C8+19</f>
        <v>2045</v>
      </c>
      <c r="C43" s="44" t="n">
        <f aca="false">G42</f>
        <v>473641.553406089</v>
      </c>
      <c r="D43" s="44" t="n">
        <f aca="false">C43*Hypothèses!C34</f>
        <v>16577.4543692131</v>
      </c>
      <c r="E43" s="44" t="n">
        <f aca="false">IFERROR(PMT(Hypothèses!C34,Hypothèses!C35,-C12),0)</f>
        <v>88887.4618771792</v>
      </c>
      <c r="F43" s="44" t="n">
        <f aca="false">E43-D43</f>
        <v>72310.0075079661</v>
      </c>
      <c r="G43" s="44" t="n">
        <f aca="false">MAX(0,C43-F43)</f>
        <v>401331.545898123</v>
      </c>
    </row>
    <row r="44" customFormat="false" ht="12.75" hidden="false" customHeight="true" outlineLevel="0" collapsed="false">
      <c r="B44" s="43" t="n">
        <f aca="false">Hypothèses!C8+20</f>
        <v>2046</v>
      </c>
      <c r="C44" s="44" t="n">
        <f aca="false">G43</f>
        <v>401331.545898123</v>
      </c>
      <c r="D44" s="44" t="n">
        <f aca="false">C44*Hypothèses!C34</f>
        <v>14046.6041064343</v>
      </c>
      <c r="E44" s="44" t="n">
        <f aca="false">IFERROR(PMT(Hypothèses!C34,Hypothèses!C35,-C12),0)</f>
        <v>88887.4618771792</v>
      </c>
      <c r="F44" s="44" t="n">
        <f aca="false">E44-D44</f>
        <v>74840.8577707449</v>
      </c>
      <c r="G44" s="44" t="n">
        <f aca="false">MAX(0,C44-F44)</f>
        <v>326490.688127378</v>
      </c>
    </row>
    <row r="45" customFormat="false" ht="12.75" hidden="false" customHeight="true" outlineLevel="0" collapsed="false">
      <c r="B45" s="43" t="n">
        <f aca="false">Hypothèses!C8+21</f>
        <v>2047</v>
      </c>
      <c r="C45" s="44" t="n">
        <f aca="false">G44</f>
        <v>326490.688127378</v>
      </c>
      <c r="D45" s="44" t="n">
        <f aca="false">C45*Hypothèses!C34</f>
        <v>11427.1740844582</v>
      </c>
      <c r="E45" s="44" t="n">
        <f aca="false">IFERROR(PMT(Hypothèses!C34,Hypothèses!C35,-C12),0)</f>
        <v>88887.4618771792</v>
      </c>
      <c r="F45" s="44" t="n">
        <f aca="false">E45-D45</f>
        <v>77460.287792721</v>
      </c>
      <c r="G45" s="44" t="n">
        <f aca="false">MAX(0,C45-F45)</f>
        <v>249030.400334657</v>
      </c>
    </row>
    <row r="46" customFormat="false" ht="12.75" hidden="false" customHeight="true" outlineLevel="0" collapsed="false">
      <c r="B46" s="43" t="n">
        <f aca="false">Hypothèses!C8+22</f>
        <v>2048</v>
      </c>
      <c r="C46" s="44" t="n">
        <f aca="false">G45</f>
        <v>249030.400334657</v>
      </c>
      <c r="D46" s="44" t="n">
        <f aca="false">C46*Hypothèses!C34</f>
        <v>8716.06401171299</v>
      </c>
      <c r="E46" s="44" t="n">
        <f aca="false">IFERROR(PMT(Hypothèses!C34,Hypothèses!C35,-C12),0)</f>
        <v>88887.4618771792</v>
      </c>
      <c r="F46" s="44" t="n">
        <f aca="false">E46-D46</f>
        <v>80171.3978654662</v>
      </c>
      <c r="G46" s="44" t="n">
        <f aca="false">MAX(0,C46-F46)</f>
        <v>168859.002469191</v>
      </c>
    </row>
    <row r="47" customFormat="false" ht="12.75" hidden="false" customHeight="true" outlineLevel="0" collapsed="false">
      <c r="B47" s="43" t="n">
        <f aca="false">Hypothèses!C8+23</f>
        <v>2049</v>
      </c>
      <c r="C47" s="44" t="n">
        <f aca="false">G46</f>
        <v>168859.002469191</v>
      </c>
      <c r="D47" s="44" t="n">
        <f aca="false">C47*Hypothèses!C34</f>
        <v>5910.06508642168</v>
      </c>
      <c r="E47" s="44" t="n">
        <f aca="false">IFERROR(PMT(Hypothèses!C34,Hypothèses!C35,-C12),0)</f>
        <v>88887.4618771792</v>
      </c>
      <c r="F47" s="44" t="n">
        <f aca="false">E47-D47</f>
        <v>82977.3967907576</v>
      </c>
      <c r="G47" s="44" t="n">
        <f aca="false">MAX(0,C47-F47)</f>
        <v>85881.6056784331</v>
      </c>
    </row>
    <row r="48" customFormat="false" ht="12.75" hidden="false" customHeight="true" outlineLevel="0" collapsed="false">
      <c r="B48" s="43" t="n">
        <f aca="false">Hypothèses!C8+24</f>
        <v>2050</v>
      </c>
      <c r="C48" s="44" t="n">
        <f aca="false">G47</f>
        <v>85881.6056784331</v>
      </c>
      <c r="D48" s="44" t="n">
        <f aca="false">C48*Hypothèses!C34</f>
        <v>3005.85619874516</v>
      </c>
      <c r="E48" s="44" t="n">
        <f aca="false">IFERROR(PMT(Hypothèses!C34,Hypothèses!C35,-C12),0)</f>
        <v>88887.4618771792</v>
      </c>
      <c r="F48" s="44" t="n">
        <f aca="false">E48-D48</f>
        <v>85881.6056784341</v>
      </c>
      <c r="G48" s="44" t="n">
        <f aca="false">MAX(0,C48-F48)</f>
        <v>0</v>
      </c>
    </row>
    <row r="49" customFormat="false" ht="18" hidden="false" customHeight="true" outlineLevel="0" collapsed="false">
      <c r="B49" s="32" t="s">
        <v>197</v>
      </c>
      <c r="C49" s="33" t="n">
        <f aca="false">SUM(C24:C48)</f>
        <v>21633901.3408423</v>
      </c>
      <c r="D49" s="33" t="n">
        <f aca="false">SUM(D24:D48)</f>
        <v>757186.54692948</v>
      </c>
      <c r="E49" s="33" t="n">
        <f aca="false">SUM(E24:E48)</f>
        <v>2222186.54692948</v>
      </c>
      <c r="F49" s="33" t="n">
        <f aca="false">SUM(F24:F48)</f>
        <v>1465000</v>
      </c>
      <c r="G49" s="33" t="n">
        <f aca="false">SUM(G24:G48)</f>
        <v>20168901.3408423</v>
      </c>
    </row>
  </sheetData>
  <mergeCells count="6">
    <mergeCell ref="B1:G1"/>
    <mergeCell ref="B3:G3"/>
    <mergeCell ref="B5:G5"/>
    <mergeCell ref="B11:G11"/>
    <mergeCell ref="B16:G16"/>
    <mergeCell ref="B22:G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8A96E"/>
    <pageSetUpPr fitToPage="false"/>
  </sheetPr>
  <dimension ref="B1:K4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20"/>
    <col collapsed="false" customWidth="true" hidden="false" outlineLevel="0" max="3" min="3" style="1" width="14"/>
    <col collapsed="false" customWidth="true" hidden="false" outlineLevel="0" max="4" min="4" style="1" width="10"/>
    <col collapsed="false" customWidth="true" hidden="false" outlineLevel="0" max="5" min="5" style="1" width="14"/>
    <col collapsed="false" customWidth="true" hidden="false" outlineLevel="0" max="7" min="6" style="1" width="12"/>
    <col collapsed="false" customWidth="true" hidden="false" outlineLevel="0" max="10" min="8" style="1" width="14"/>
    <col collapsed="false" customWidth="true" hidden="false" outlineLevel="0" max="11" min="11" style="1" width="2"/>
  </cols>
  <sheetData>
    <row r="1" customFormat="false" ht="30" hidden="false" customHeight="true" outlineLevel="0" collapsed="false">
      <c r="B1" s="21" t="s">
        <v>198</v>
      </c>
      <c r="C1" s="21"/>
      <c r="D1" s="21"/>
      <c r="E1" s="21"/>
      <c r="F1" s="21"/>
      <c r="G1" s="21"/>
      <c r="H1" s="21"/>
      <c r="I1" s="21"/>
      <c r="J1" s="21"/>
    </row>
    <row r="2" customFormat="false" ht="13.5" hidden="false" customHeight="true" outlineLevel="0" collapsed="false">
      <c r="B2" s="45" t="s">
        <v>199</v>
      </c>
      <c r="C2" s="45"/>
      <c r="D2" s="45"/>
      <c r="E2" s="45"/>
      <c r="F2" s="45"/>
      <c r="G2" s="45"/>
      <c r="H2" s="45"/>
      <c r="I2" s="45"/>
      <c r="J2" s="45"/>
    </row>
    <row r="4" customFormat="false" ht="15.75" hidden="false" customHeight="true" outlineLevel="0" collapsed="false">
      <c r="B4" s="5" t="s">
        <v>200</v>
      </c>
      <c r="C4" s="5"/>
      <c r="D4" s="5"/>
      <c r="E4" s="5"/>
      <c r="F4" s="5"/>
      <c r="G4" s="5"/>
      <c r="H4" s="5"/>
      <c r="I4" s="5"/>
      <c r="J4" s="5"/>
    </row>
    <row r="5" customFormat="false" ht="27.75" hidden="false" customHeight="true" outlineLevel="0" collapsed="false">
      <c r="B5" s="31" t="s">
        <v>201</v>
      </c>
      <c r="C5" s="31" t="s">
        <v>202</v>
      </c>
      <c r="D5" s="31" t="s">
        <v>203</v>
      </c>
      <c r="E5" s="31" t="s">
        <v>204</v>
      </c>
      <c r="F5" s="31" t="s">
        <v>205</v>
      </c>
      <c r="G5" s="31" t="s">
        <v>206</v>
      </c>
      <c r="H5" s="31" t="s">
        <v>207</v>
      </c>
      <c r="I5" s="31" t="s">
        <v>208</v>
      </c>
      <c r="J5" s="31" t="s">
        <v>209</v>
      </c>
      <c r="K5" s="31" t="s">
        <v>210</v>
      </c>
    </row>
    <row r="6" customFormat="false" ht="15" hidden="false" customHeight="true" outlineLevel="0" collapsed="false">
      <c r="B6" s="46" t="s">
        <v>211</v>
      </c>
      <c r="C6" s="47" t="s">
        <v>212</v>
      </c>
      <c r="D6" s="26" t="n">
        <v>2500</v>
      </c>
      <c r="E6" s="37" t="n">
        <f aca="false">IF(SUM($D$6:$D$11)=0,0,D6/SUM($D$6:$D$11))</f>
        <v>0.5</v>
      </c>
      <c r="F6" s="26" t="n">
        <v>0</v>
      </c>
      <c r="G6" s="37" t="n">
        <f aca="false">IF(SUM($D$6:$D$11)+SUM($F$6:$F$11)=0,0,(D6+F6)/(SUM($D$6:$D$11)+SUM($F$6:$F$11)))</f>
        <v>0.0031055900621118</v>
      </c>
      <c r="H6" s="26" t="n">
        <v>10000</v>
      </c>
      <c r="I6" s="35" t="n">
        <f aca="false">H6*0.03*5</f>
        <v>1500</v>
      </c>
      <c r="J6" s="35" t="n">
        <f aca="false">D6+F6+H6</f>
        <v>12500</v>
      </c>
      <c r="K6" s="47" t="s">
        <v>213</v>
      </c>
    </row>
    <row r="7" customFormat="false" ht="15" hidden="false" customHeight="true" outlineLevel="0" collapsed="false">
      <c r="B7" s="46" t="s">
        <v>214</v>
      </c>
      <c r="C7" s="47" t="s">
        <v>215</v>
      </c>
      <c r="D7" s="26" t="n">
        <v>2500</v>
      </c>
      <c r="E7" s="37" t="n">
        <f aca="false">IF(SUM($D$6:$D$11)=0,0,D7/SUM($D$6:$D$11))</f>
        <v>0.5</v>
      </c>
      <c r="F7" s="26" t="n">
        <v>0</v>
      </c>
      <c r="G7" s="37" t="n">
        <f aca="false">IF(SUM($D$6:$D$11)+SUM($F$6:$F$11)=0,0,(D7+F7)/(SUM($D$6:$D$11)+SUM($F$6:$F$11)))</f>
        <v>0.0031055900621118</v>
      </c>
      <c r="H7" s="26" t="n">
        <v>10000</v>
      </c>
      <c r="I7" s="35" t="n">
        <f aca="false">H7*0.03*5</f>
        <v>1500</v>
      </c>
      <c r="J7" s="35" t="n">
        <f aca="false">D7+F7+H7</f>
        <v>12500</v>
      </c>
      <c r="K7" s="47" t="s">
        <v>213</v>
      </c>
    </row>
    <row r="8" customFormat="false" ht="15" hidden="false" customHeight="true" outlineLevel="0" collapsed="false">
      <c r="B8" s="48" t="s">
        <v>216</v>
      </c>
      <c r="C8" s="25" t="s">
        <v>217</v>
      </c>
      <c r="D8" s="26" t="n">
        <v>0</v>
      </c>
      <c r="E8" s="37" t="n">
        <f aca="false">IF(SUM($D$6:$D$11)=0,0,D8/SUM($D$6:$D$11))</f>
        <v>0</v>
      </c>
      <c r="F8" s="26" t="n">
        <v>400000</v>
      </c>
      <c r="G8" s="37" t="n">
        <f aca="false">IF(SUM($D$6:$D$11)+SUM($F$6:$F$11)=0,0,(D8+F8)/(SUM($D$6:$D$11)+SUM($F$6:$F$11)))</f>
        <v>0.496894409937888</v>
      </c>
      <c r="H8" s="26" t="n">
        <v>0</v>
      </c>
      <c r="I8" s="35" t="n">
        <f aca="false">H8*0.03*5</f>
        <v>0</v>
      </c>
      <c r="J8" s="35" t="n">
        <f aca="false">D8+F8+H8</f>
        <v>400000</v>
      </c>
      <c r="K8" s="25" t="s">
        <v>213</v>
      </c>
    </row>
    <row r="9" customFormat="false" ht="15" hidden="false" customHeight="true" outlineLevel="0" collapsed="false">
      <c r="B9" s="48" t="s">
        <v>218</v>
      </c>
      <c r="C9" s="25" t="s">
        <v>217</v>
      </c>
      <c r="D9" s="26" t="n">
        <v>0</v>
      </c>
      <c r="E9" s="37" t="n">
        <f aca="false">IF(SUM($D$6:$D$11)=0,0,D9/SUM($D$6:$D$11))</f>
        <v>0</v>
      </c>
      <c r="F9" s="26" t="n">
        <v>200000</v>
      </c>
      <c r="G9" s="37" t="n">
        <f aca="false">IF(SUM($D$6:$D$11)+SUM($F$6:$F$11)=0,0,(D9+F9)/(SUM($D$6:$D$11)+SUM($F$6:$F$11)))</f>
        <v>0.248447204968944</v>
      </c>
      <c r="H9" s="26" t="n">
        <v>0</v>
      </c>
      <c r="I9" s="35" t="n">
        <f aca="false">H9*0.03*5</f>
        <v>0</v>
      </c>
      <c r="J9" s="35" t="n">
        <f aca="false">D9+F9+H9</f>
        <v>200000</v>
      </c>
      <c r="K9" s="25" t="s">
        <v>213</v>
      </c>
    </row>
    <row r="10" customFormat="false" ht="15" hidden="false" customHeight="true" outlineLevel="0" collapsed="false">
      <c r="B10" s="48" t="s">
        <v>219</v>
      </c>
      <c r="C10" s="25" t="s">
        <v>217</v>
      </c>
      <c r="D10" s="26" t="n">
        <v>0</v>
      </c>
      <c r="E10" s="37" t="n">
        <f aca="false">IF(SUM($D$6:$D$11)=0,0,D10/SUM($D$6:$D$11))</f>
        <v>0</v>
      </c>
      <c r="F10" s="26" t="n">
        <v>100000</v>
      </c>
      <c r="G10" s="37" t="n">
        <f aca="false">IF(SUM($D$6:$D$11)+SUM($F$6:$F$11)=0,0,(D10+F10)/(SUM($D$6:$D$11)+SUM($F$6:$F$11)))</f>
        <v>0.124223602484472</v>
      </c>
      <c r="H10" s="26" t="n">
        <v>0</v>
      </c>
      <c r="I10" s="35" t="n">
        <f aca="false">H10*0.03*5</f>
        <v>0</v>
      </c>
      <c r="J10" s="35" t="n">
        <f aca="false">D10+F10+H10</f>
        <v>100000</v>
      </c>
      <c r="K10" s="25" t="s">
        <v>213</v>
      </c>
    </row>
    <row r="11" customFormat="false" ht="15" hidden="false" customHeight="true" outlineLevel="0" collapsed="false">
      <c r="B11" s="48" t="s">
        <v>220</v>
      </c>
      <c r="C11" s="25" t="s">
        <v>221</v>
      </c>
      <c r="D11" s="26" t="n">
        <v>0</v>
      </c>
      <c r="E11" s="37" t="n">
        <f aca="false">IF(SUM($D$6:$D$11)=0,0,D11/SUM($D$6:$D$11))</f>
        <v>0</v>
      </c>
      <c r="F11" s="26" t="n">
        <v>100000</v>
      </c>
      <c r="G11" s="37" t="n">
        <f aca="false">IF(SUM($D$6:$D$11)+SUM($F$6:$F$11)=0,0,(D11+F11)/(SUM($D$6:$D$11)+SUM($F$6:$F$11)))</f>
        <v>0.124223602484472</v>
      </c>
      <c r="H11" s="26" t="n">
        <v>0</v>
      </c>
      <c r="I11" s="35" t="n">
        <f aca="false">H11*0.03*5</f>
        <v>0</v>
      </c>
      <c r="J11" s="35" t="n">
        <f aca="false">D11+F11+H11</f>
        <v>100000</v>
      </c>
      <c r="K11" s="25" t="s">
        <v>213</v>
      </c>
    </row>
    <row r="12" customFormat="false" ht="18" hidden="false" customHeight="true" outlineLevel="0" collapsed="false">
      <c r="B12" s="32" t="s">
        <v>197</v>
      </c>
      <c r="D12" s="33" t="n">
        <f aca="false">SUM(D6:D11)</f>
        <v>5000</v>
      </c>
      <c r="E12" s="38" t="n">
        <f aca="false">SUM(E6:E11)</f>
        <v>1</v>
      </c>
      <c r="F12" s="33" t="n">
        <f aca="false">SUM(F6:F11)</f>
        <v>800000</v>
      </c>
      <c r="G12" s="38" t="n">
        <f aca="false">SUM(G6:G11)</f>
        <v>1</v>
      </c>
      <c r="H12" s="33" t="n">
        <f aca="false">SUM(H6:H11)</f>
        <v>20000</v>
      </c>
      <c r="I12" s="33" t="n">
        <f aca="false">SUM(I6:I11)</f>
        <v>3000</v>
      </c>
      <c r="J12" s="33" t="n">
        <f aca="false">SUM(J6:J11)</f>
        <v>825000</v>
      </c>
    </row>
    <row r="14" customFormat="false" ht="15.75" hidden="false" customHeight="true" outlineLevel="0" collapsed="false">
      <c r="B14" s="5" t="s">
        <v>222</v>
      </c>
      <c r="C14" s="5"/>
      <c r="D14" s="5"/>
      <c r="E14" s="5"/>
      <c r="F14" s="5"/>
      <c r="G14" s="5"/>
      <c r="H14" s="5"/>
      <c r="I14" s="5"/>
      <c r="J14" s="5"/>
    </row>
    <row r="15" customFormat="false" ht="15" hidden="false" customHeight="true" outlineLevel="0" collapsed="false">
      <c r="B15" s="23" t="s">
        <v>223</v>
      </c>
      <c r="C15" s="26" t="n">
        <v>50</v>
      </c>
    </row>
    <row r="16" customFormat="false" ht="15" hidden="false" customHeight="true" outlineLevel="0" collapsed="false">
      <c r="B16" s="23" t="s">
        <v>224</v>
      </c>
      <c r="C16" s="26" t="n">
        <v>3500</v>
      </c>
    </row>
    <row r="17" customFormat="false" ht="15" hidden="false" customHeight="true" outlineLevel="0" collapsed="false">
      <c r="B17" s="23" t="s">
        <v>225</v>
      </c>
      <c r="C17" s="35" t="n">
        <f aca="false">C16-C15</f>
        <v>3450</v>
      </c>
    </row>
    <row r="18" customFormat="false" ht="15" hidden="false" customHeight="true" outlineLevel="0" collapsed="false">
      <c r="B18" s="23" t="s">
        <v>226</v>
      </c>
      <c r="C18" s="26" t="n">
        <v>5000</v>
      </c>
    </row>
    <row r="19" customFormat="false" ht="15" hidden="false" customHeight="true" outlineLevel="0" collapsed="false">
      <c r="B19" s="23" t="s">
        <v>227</v>
      </c>
      <c r="C19" s="26" t="n">
        <v>1150000</v>
      </c>
    </row>
    <row r="20" customFormat="false" ht="15" hidden="false" customHeight="true" outlineLevel="0" collapsed="false">
      <c r="B20" s="23" t="s">
        <v>228</v>
      </c>
      <c r="C20" s="26" t="n">
        <v>1500000</v>
      </c>
    </row>
    <row r="22" customFormat="false" ht="15.75" hidden="false" customHeight="true" outlineLevel="0" collapsed="false">
      <c r="B22" s="5" t="s">
        <v>229</v>
      </c>
      <c r="C22" s="5"/>
      <c r="D22" s="5"/>
      <c r="E22" s="5"/>
      <c r="F22" s="5"/>
      <c r="G22" s="5"/>
      <c r="H22" s="5"/>
      <c r="I22" s="5"/>
      <c r="J22" s="5"/>
    </row>
    <row r="23" customFormat="false" ht="15" hidden="false" customHeight="true" outlineLevel="0" collapsed="false">
      <c r="B23" s="23" t="s">
        <v>230</v>
      </c>
      <c r="C23" s="19" t="s">
        <v>231</v>
      </c>
      <c r="D23" s="19"/>
      <c r="E23" s="19"/>
      <c r="F23" s="19"/>
      <c r="G23" s="19"/>
      <c r="H23" s="19"/>
      <c r="I23" s="19"/>
      <c r="J23" s="19"/>
    </row>
    <row r="24" customFormat="false" ht="15" hidden="false" customHeight="true" outlineLevel="0" collapsed="false">
      <c r="B24" s="23" t="s">
        <v>232</v>
      </c>
      <c r="C24" s="19" t="s">
        <v>233</v>
      </c>
      <c r="D24" s="19"/>
      <c r="E24" s="19"/>
      <c r="F24" s="19"/>
      <c r="G24" s="19"/>
      <c r="H24" s="19"/>
      <c r="I24" s="19"/>
      <c r="J24" s="19"/>
    </row>
    <row r="25" customFormat="false" ht="15" hidden="false" customHeight="true" outlineLevel="0" collapsed="false">
      <c r="B25" s="23" t="s">
        <v>234</v>
      </c>
      <c r="C25" s="19" t="s">
        <v>235</v>
      </c>
      <c r="D25" s="19"/>
      <c r="E25" s="19"/>
      <c r="F25" s="19"/>
      <c r="G25" s="19"/>
      <c r="H25" s="19"/>
      <c r="I25" s="19"/>
      <c r="J25" s="19"/>
    </row>
    <row r="26" customFormat="false" ht="15" hidden="false" customHeight="true" outlineLevel="0" collapsed="false">
      <c r="B26" s="23" t="s">
        <v>236</v>
      </c>
      <c r="C26" s="19" t="s">
        <v>237</v>
      </c>
      <c r="D26" s="19"/>
      <c r="E26" s="19"/>
      <c r="F26" s="19"/>
      <c r="G26" s="19"/>
      <c r="H26" s="19"/>
      <c r="I26" s="19"/>
      <c r="J26" s="19"/>
    </row>
    <row r="27" customFormat="false" ht="15" hidden="false" customHeight="true" outlineLevel="0" collapsed="false">
      <c r="B27" s="23" t="s">
        <v>238</v>
      </c>
      <c r="C27" s="19" t="s">
        <v>239</v>
      </c>
      <c r="D27" s="19"/>
      <c r="E27" s="19"/>
      <c r="F27" s="19"/>
      <c r="G27" s="19"/>
      <c r="H27" s="19"/>
      <c r="I27" s="19"/>
      <c r="J27" s="19"/>
    </row>
    <row r="28" customFormat="false" ht="15" hidden="false" customHeight="true" outlineLevel="0" collapsed="false">
      <c r="B28" s="23" t="s">
        <v>240</v>
      </c>
      <c r="C28" s="19" t="s">
        <v>241</v>
      </c>
      <c r="D28" s="19"/>
      <c r="E28" s="19"/>
      <c r="F28" s="19"/>
      <c r="G28" s="19"/>
      <c r="H28" s="19"/>
      <c r="I28" s="19"/>
      <c r="J28" s="19"/>
    </row>
    <row r="29" customFormat="false" ht="15" hidden="false" customHeight="true" outlineLevel="0" collapsed="false">
      <c r="B29" s="23" t="s">
        <v>242</v>
      </c>
      <c r="C29" s="19" t="s">
        <v>243</v>
      </c>
      <c r="D29" s="19"/>
      <c r="E29" s="19"/>
      <c r="F29" s="19"/>
      <c r="G29" s="19"/>
      <c r="H29" s="19"/>
      <c r="I29" s="19"/>
      <c r="J29" s="19"/>
    </row>
    <row r="30" customFormat="false" ht="15" hidden="false" customHeight="true" outlineLevel="0" collapsed="false">
      <c r="B30" s="23" t="s">
        <v>244</v>
      </c>
      <c r="C30" s="19" t="s">
        <v>245</v>
      </c>
      <c r="D30" s="19"/>
      <c r="E30" s="19"/>
      <c r="F30" s="19"/>
      <c r="G30" s="19"/>
      <c r="H30" s="19"/>
      <c r="I30" s="19"/>
      <c r="J30" s="19"/>
    </row>
    <row r="31" customFormat="false" ht="15" hidden="false" customHeight="true" outlineLevel="0" collapsed="false">
      <c r="B31" s="23" t="s">
        <v>246</v>
      </c>
      <c r="C31" s="19" t="s">
        <v>247</v>
      </c>
      <c r="D31" s="19"/>
      <c r="E31" s="19"/>
      <c r="F31" s="19"/>
      <c r="G31" s="19"/>
      <c r="H31" s="19"/>
      <c r="I31" s="19"/>
      <c r="J31" s="19"/>
    </row>
    <row r="32" customFormat="false" ht="15" hidden="false" customHeight="true" outlineLevel="0" collapsed="false">
      <c r="B32" s="23" t="s">
        <v>248</v>
      </c>
      <c r="C32" s="19" t="s">
        <v>249</v>
      </c>
      <c r="D32" s="19"/>
      <c r="E32" s="19"/>
      <c r="F32" s="19"/>
      <c r="G32" s="19"/>
      <c r="H32" s="19"/>
      <c r="I32" s="19"/>
      <c r="J32" s="19"/>
    </row>
    <row r="33" customFormat="false" ht="15" hidden="false" customHeight="true" outlineLevel="0" collapsed="false">
      <c r="B33" s="23" t="s">
        <v>250</v>
      </c>
      <c r="C33" s="19" t="s">
        <v>251</v>
      </c>
      <c r="D33" s="19"/>
      <c r="E33" s="19"/>
      <c r="F33" s="19"/>
      <c r="G33" s="19"/>
      <c r="H33" s="19"/>
      <c r="I33" s="19"/>
      <c r="J33" s="19"/>
    </row>
    <row r="34" customFormat="false" ht="15" hidden="false" customHeight="true" outlineLevel="0" collapsed="false">
      <c r="B34" s="23" t="s">
        <v>252</v>
      </c>
      <c r="C34" s="19" t="s">
        <v>253</v>
      </c>
      <c r="D34" s="19"/>
      <c r="E34" s="19"/>
      <c r="F34" s="19"/>
      <c r="G34" s="19"/>
      <c r="H34" s="19"/>
      <c r="I34" s="19"/>
      <c r="J34" s="19"/>
    </row>
    <row r="36" customFormat="false" ht="15.75" hidden="false" customHeight="true" outlineLevel="0" collapsed="false">
      <c r="B36" s="5" t="s">
        <v>254</v>
      </c>
      <c r="C36" s="5"/>
      <c r="D36" s="5"/>
      <c r="E36" s="5"/>
      <c r="F36" s="5"/>
      <c r="G36" s="5"/>
      <c r="H36" s="5"/>
      <c r="I36" s="5"/>
      <c r="J36" s="5"/>
    </row>
    <row r="37" customFormat="false" ht="13.5" hidden="false" customHeight="true" outlineLevel="0" collapsed="false">
      <c r="B37" s="49" t="s">
        <v>255</v>
      </c>
      <c r="C37" s="49"/>
      <c r="D37" s="49"/>
      <c r="E37" s="49"/>
      <c r="F37" s="49"/>
      <c r="G37" s="49"/>
      <c r="H37" s="49"/>
      <c r="I37" s="49"/>
      <c r="J37" s="49"/>
    </row>
    <row r="38" customFormat="false" ht="13.5" hidden="false" customHeight="true" outlineLevel="0" collapsed="false">
      <c r="B38" s="49" t="s">
        <v>256</v>
      </c>
      <c r="C38" s="49"/>
      <c r="D38" s="49"/>
      <c r="E38" s="49"/>
      <c r="F38" s="49"/>
      <c r="G38" s="49"/>
      <c r="H38" s="49"/>
      <c r="I38" s="49"/>
      <c r="J38" s="49"/>
    </row>
    <row r="39" customFormat="false" ht="13.5" hidden="false" customHeight="true" outlineLevel="0" collapsed="false">
      <c r="B39" s="49" t="s">
        <v>257</v>
      </c>
      <c r="C39" s="49"/>
      <c r="D39" s="49"/>
      <c r="E39" s="49"/>
      <c r="F39" s="49"/>
      <c r="G39" s="49"/>
      <c r="H39" s="49"/>
      <c r="I39" s="49"/>
      <c r="J39" s="49"/>
    </row>
    <row r="40" customFormat="false" ht="13.5" hidden="false" customHeight="true" outlineLevel="0" collapsed="false">
      <c r="B40" s="49" t="s">
        <v>258</v>
      </c>
      <c r="C40" s="49"/>
      <c r="D40" s="49"/>
      <c r="E40" s="49"/>
      <c r="F40" s="49"/>
      <c r="G40" s="49"/>
      <c r="H40" s="49"/>
      <c r="I40" s="49"/>
      <c r="J40" s="49"/>
    </row>
    <row r="41" customFormat="false" ht="13.5" hidden="false" customHeight="true" outlineLevel="0" collapsed="false">
      <c r="B41" s="49" t="s">
        <v>259</v>
      </c>
      <c r="C41" s="49"/>
      <c r="D41" s="49"/>
      <c r="E41" s="49"/>
      <c r="F41" s="49"/>
      <c r="G41" s="49"/>
      <c r="H41" s="49"/>
      <c r="I41" s="49"/>
      <c r="J41" s="49"/>
    </row>
  </sheetData>
  <mergeCells count="23">
    <mergeCell ref="B1:J1"/>
    <mergeCell ref="B2:J2"/>
    <mergeCell ref="B4:J4"/>
    <mergeCell ref="B14:J14"/>
    <mergeCell ref="B22:J22"/>
    <mergeCell ref="C23:J23"/>
    <mergeCell ref="C24:J24"/>
    <mergeCell ref="C25:J25"/>
    <mergeCell ref="C26:J26"/>
    <mergeCell ref="C27:J27"/>
    <mergeCell ref="C28:J28"/>
    <mergeCell ref="C29:J29"/>
    <mergeCell ref="C30:J30"/>
    <mergeCell ref="C31:J31"/>
    <mergeCell ref="C32:J32"/>
    <mergeCell ref="C33:J33"/>
    <mergeCell ref="C34:J34"/>
    <mergeCell ref="B36:J36"/>
    <mergeCell ref="B37:J37"/>
    <mergeCell ref="B38:J38"/>
    <mergeCell ref="B39:J39"/>
    <mergeCell ref="B40:J40"/>
    <mergeCell ref="B41:J4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E3A5F"/>
    <pageSetUpPr fitToPage="false"/>
  </sheetPr>
  <dimension ref="B1:I3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"/>
    <col collapsed="false" customWidth="true" hidden="false" outlineLevel="0" max="9" min="3" style="1" width="13"/>
    <col collapsed="false" customWidth="true" hidden="false" outlineLevel="0" max="10" min="10" style="1" width="2"/>
  </cols>
  <sheetData>
    <row r="1" customFormat="false" ht="30" hidden="false" customHeight="true" outlineLevel="0" collapsed="false">
      <c r="B1" s="21" t="s">
        <v>260</v>
      </c>
      <c r="C1" s="21"/>
      <c r="D1" s="21"/>
      <c r="E1" s="21"/>
      <c r="F1" s="21"/>
      <c r="G1" s="21"/>
      <c r="H1" s="21"/>
      <c r="I1" s="21"/>
    </row>
    <row r="3" customFormat="false" ht="19.5" hidden="false" customHeight="true" outlineLevel="0" collapsed="false">
      <c r="B3" s="50" t="s">
        <v>261</v>
      </c>
      <c r="C3" s="51" t="s">
        <v>262</v>
      </c>
      <c r="D3" s="51" t="s">
        <v>263</v>
      </c>
      <c r="E3" s="51" t="s">
        <v>264</v>
      </c>
      <c r="F3" s="51" t="s">
        <v>265</v>
      </c>
      <c r="G3" s="51" t="s">
        <v>266</v>
      </c>
      <c r="H3" s="51" t="s">
        <v>267</v>
      </c>
      <c r="I3" s="51" t="s">
        <v>268</v>
      </c>
    </row>
    <row r="4" customFormat="false" ht="15.75" hidden="false" customHeight="true" outlineLevel="0" collapsed="false">
      <c r="B4" s="5" t="s">
        <v>269</v>
      </c>
      <c r="C4" s="5"/>
      <c r="D4" s="5"/>
      <c r="E4" s="5"/>
      <c r="F4" s="5"/>
      <c r="G4" s="5"/>
      <c r="H4" s="5"/>
      <c r="I4" s="5"/>
    </row>
    <row r="5" customFormat="false" ht="15" hidden="false" customHeight="true" outlineLevel="0" collapsed="false">
      <c r="B5" s="23" t="s">
        <v>66</v>
      </c>
      <c r="C5" s="52" t="n">
        <f aca="false">Hypothèses!C5</f>
        <v>35</v>
      </c>
      <c r="D5" s="52" t="n">
        <f aca="false">Hypothèses!C5</f>
        <v>35</v>
      </c>
      <c r="E5" s="52" t="n">
        <f aca="false">Hypothèses!C5</f>
        <v>35</v>
      </c>
      <c r="F5" s="52" t="n">
        <f aca="false">Hypothèses!C5</f>
        <v>35</v>
      </c>
      <c r="G5" s="52" t="n">
        <f aca="false">Hypothèses!C5</f>
        <v>35</v>
      </c>
      <c r="H5" s="52" t="n">
        <f aca="false">Hypothèses!C5</f>
        <v>35</v>
      </c>
      <c r="I5" s="52" t="n">
        <f aca="false">Hypothèses!C5</f>
        <v>35</v>
      </c>
    </row>
    <row r="6" customFormat="false" ht="15" hidden="false" customHeight="true" outlineLevel="0" collapsed="false">
      <c r="B6" s="23" t="s">
        <v>270</v>
      </c>
      <c r="C6" s="39" t="n">
        <f aca="false">Hypothèses!C11</f>
        <v>0.6</v>
      </c>
      <c r="D6" s="37" t="n">
        <f aca="false">C6*(1+Hypothèses!C12)</f>
        <v>0.609</v>
      </c>
      <c r="E6" s="37" t="n">
        <f aca="false">D6*(1+Hypothèses!C12)</f>
        <v>0.618135</v>
      </c>
      <c r="F6" s="37" t="n">
        <f aca="false">E6*(1+Hypothèses!C12)</f>
        <v>0.627407025</v>
      </c>
      <c r="G6" s="37" t="n">
        <f aca="false">F6*(1+Hypothèses!C12)</f>
        <v>0.636818130375</v>
      </c>
      <c r="H6" s="37" t="n">
        <f aca="false">G6*(1+Hypothèses!C12)</f>
        <v>0.646370402330625</v>
      </c>
      <c r="I6" s="37" t="n">
        <f aca="false">H6*(1+Hypothèses!C12)</f>
        <v>0.656065958365584</v>
      </c>
    </row>
    <row r="7" customFormat="false" ht="15" hidden="false" customHeight="true" outlineLevel="0" collapsed="false">
      <c r="B7" s="23" t="s">
        <v>271</v>
      </c>
      <c r="C7" s="34" t="n">
        <f aca="false">Hypothèses!C13</f>
        <v>92</v>
      </c>
      <c r="D7" s="35" t="n">
        <f aca="false">C7*(1+Hypothèses!C14)</f>
        <v>93.38</v>
      </c>
      <c r="E7" s="35" t="n">
        <f aca="false">D7*(1+Hypothèses!C14)</f>
        <v>94.7807</v>
      </c>
      <c r="F7" s="35" t="n">
        <f aca="false">E7*(1+Hypothèses!C14)</f>
        <v>96.2024105</v>
      </c>
      <c r="G7" s="35" t="n">
        <f aca="false">F7*(1+Hypothèses!C14)</f>
        <v>97.6454466575</v>
      </c>
      <c r="H7" s="35" t="n">
        <f aca="false">G7*(1+Hypothèses!C14)</f>
        <v>99.1101283573625</v>
      </c>
      <c r="I7" s="35" t="n">
        <f aca="false">H7*(1+Hypothèses!C14)</f>
        <v>100.596780282723</v>
      </c>
    </row>
    <row r="8" customFormat="false" ht="15" hidden="false" customHeight="true" outlineLevel="0" collapsed="false">
      <c r="B8" s="53" t="s">
        <v>272</v>
      </c>
      <c r="C8" s="54" t="n">
        <f aca="false">C5*C6*365</f>
        <v>7665</v>
      </c>
      <c r="D8" s="54" t="n">
        <f aca="false">D5*D6*365</f>
        <v>7779.975</v>
      </c>
      <c r="E8" s="54" t="n">
        <f aca="false">E5*E6*365</f>
        <v>7896.674625</v>
      </c>
      <c r="F8" s="54" t="n">
        <f aca="false">F5*F6*365</f>
        <v>8015.124744375</v>
      </c>
      <c r="G8" s="54" t="n">
        <f aca="false">G5*G6*365</f>
        <v>8135.35161554062</v>
      </c>
      <c r="H8" s="54" t="n">
        <f aca="false">H5*H6*365</f>
        <v>8257.38188977373</v>
      </c>
      <c r="I8" s="54" t="n">
        <f aca="false">I5*I6*365</f>
        <v>8381.24261812033</v>
      </c>
    </row>
    <row r="9" customFormat="false" ht="15" hidden="false" customHeight="true" outlineLevel="0" collapsed="false">
      <c r="B9" s="53" t="s">
        <v>273</v>
      </c>
      <c r="C9" s="35" t="n">
        <f aca="false">C6*C7</f>
        <v>55.2</v>
      </c>
      <c r="D9" s="35" t="n">
        <f aca="false">D6*D7</f>
        <v>56.86842</v>
      </c>
      <c r="E9" s="35" t="n">
        <f aca="false">E6*E7</f>
        <v>58.5872679945</v>
      </c>
      <c r="F9" s="35" t="n">
        <f aca="false">F6*F7</f>
        <v>60.3580681696337</v>
      </c>
      <c r="G9" s="35" t="n">
        <f aca="false">G6*G7</f>
        <v>62.1823907800609</v>
      </c>
      <c r="H9" s="35" t="n">
        <f aca="false">H6*H7</f>
        <v>64.0618535413882</v>
      </c>
      <c r="I9" s="35" t="n">
        <f aca="false">I6*I7</f>
        <v>65.9981230646767</v>
      </c>
    </row>
    <row r="10" customFormat="false" ht="15.75" hidden="false" customHeight="true" outlineLevel="0" collapsed="false">
      <c r="B10" s="5" t="s">
        <v>274</v>
      </c>
      <c r="C10" s="5"/>
      <c r="D10" s="5"/>
      <c r="E10" s="5"/>
      <c r="F10" s="5"/>
      <c r="G10" s="5"/>
      <c r="H10" s="5"/>
      <c r="I10" s="5"/>
    </row>
    <row r="11" customFormat="false" ht="15" hidden="false" customHeight="true" outlineLevel="0" collapsed="false">
      <c r="B11" s="23" t="s">
        <v>275</v>
      </c>
      <c r="C11" s="35" t="n">
        <f aca="false">C8*C7</f>
        <v>705180</v>
      </c>
      <c r="D11" s="35" t="n">
        <f aca="false">D8*D7</f>
        <v>726494.0655</v>
      </c>
      <c r="E11" s="35" t="n">
        <f aca="false">E8*E7</f>
        <v>748452.348629737</v>
      </c>
      <c r="F11" s="35" t="n">
        <f aca="false">F8*F7</f>
        <v>771074.320867071</v>
      </c>
      <c r="G11" s="35" t="n">
        <f aca="false">G8*G7</f>
        <v>794380.042215278</v>
      </c>
      <c r="H11" s="35" t="n">
        <f aca="false">H8*H7</f>
        <v>818390.178991234</v>
      </c>
      <c r="I11" s="35" t="n">
        <f aca="false">I8*I7</f>
        <v>843126.022151244</v>
      </c>
    </row>
    <row r="12" customFormat="false" ht="15" hidden="false" customHeight="true" outlineLevel="0" collapsed="false">
      <c r="B12" s="23" t="s">
        <v>276</v>
      </c>
      <c r="C12" s="35" t="n">
        <f aca="false">C8*Hypothèses!C15*Hypothèses!C16</f>
        <v>54804.75</v>
      </c>
      <c r="D12" s="35" t="n">
        <f aca="false">D8*Hypothèses!C15*Hypothèses!C16</f>
        <v>55626.82125</v>
      </c>
      <c r="E12" s="35" t="n">
        <f aca="false">E8*Hypothèses!C15*Hypothèses!C16</f>
        <v>56461.22356875</v>
      </c>
      <c r="F12" s="35" t="n">
        <f aca="false">F8*Hypothèses!C15*Hypothèses!C16</f>
        <v>57308.1419222812</v>
      </c>
      <c r="G12" s="35" t="n">
        <f aca="false">G8*Hypothèses!C15*Hypothèses!C16</f>
        <v>58167.7640511154</v>
      </c>
      <c r="H12" s="35" t="n">
        <f aca="false">H8*Hypothèses!C15*Hypothèses!C16</f>
        <v>59040.2805118822</v>
      </c>
      <c r="I12" s="35" t="n">
        <f aca="false">I8*Hypothèses!C15*Hypothèses!C16</f>
        <v>59925.8847195604</v>
      </c>
    </row>
    <row r="13" customFormat="false" ht="15" hidden="false" customHeight="true" outlineLevel="0" collapsed="false">
      <c r="B13" s="23" t="s">
        <v>277</v>
      </c>
      <c r="C13" s="35" t="n">
        <f aca="false">C11*Hypothèses!C17</f>
        <v>42310.8</v>
      </c>
      <c r="D13" s="35" t="n">
        <f aca="false">D11*Hypothèses!C17</f>
        <v>43589.64393</v>
      </c>
      <c r="E13" s="35" t="n">
        <f aca="false">E11*Hypothèses!C17</f>
        <v>44907.1409177842</v>
      </c>
      <c r="F13" s="35" t="n">
        <f aca="false">F11*Hypothèses!C17</f>
        <v>46264.4592520242</v>
      </c>
      <c r="G13" s="35" t="n">
        <f aca="false">G11*Hypothèses!C17</f>
        <v>47662.8025329167</v>
      </c>
      <c r="H13" s="35" t="n">
        <f aca="false">H11*Hypothèses!C17</f>
        <v>49103.4107394741</v>
      </c>
      <c r="I13" s="35" t="n">
        <f aca="false">I11*Hypothèses!C17</f>
        <v>50587.5613290747</v>
      </c>
    </row>
    <row r="14" customFormat="false" ht="18" hidden="false" customHeight="true" outlineLevel="0" collapsed="false">
      <c r="B14" s="32" t="s">
        <v>278</v>
      </c>
      <c r="C14" s="33" t="n">
        <f aca="false">C11+C12+C13</f>
        <v>802295.55</v>
      </c>
      <c r="D14" s="33" t="n">
        <f aca="false">D11+D12+D13</f>
        <v>825710.53068</v>
      </c>
      <c r="E14" s="33" t="n">
        <f aca="false">E11+E12+E13</f>
        <v>849820.713116271</v>
      </c>
      <c r="F14" s="33" t="n">
        <f aca="false">F11+F12+F13</f>
        <v>874646.922041376</v>
      </c>
      <c r="G14" s="33" t="n">
        <f aca="false">G11+G12+G13</f>
        <v>900210.60879931</v>
      </c>
      <c r="H14" s="33" t="n">
        <f aca="false">H11+H12+H13</f>
        <v>926533.870242591</v>
      </c>
      <c r="I14" s="33" t="n">
        <f aca="false">I11+I12+I13</f>
        <v>953639.468199879</v>
      </c>
    </row>
    <row r="16" customFormat="false" ht="15.75" hidden="false" customHeight="true" outlineLevel="0" collapsed="false">
      <c r="B16" s="5" t="s">
        <v>88</v>
      </c>
      <c r="C16" s="5"/>
      <c r="D16" s="5"/>
      <c r="E16" s="5"/>
      <c r="F16" s="5"/>
      <c r="G16" s="5"/>
      <c r="H16" s="5"/>
      <c r="I16" s="5"/>
    </row>
    <row r="17" customFormat="false" ht="15" hidden="false" customHeight="true" outlineLevel="0" collapsed="false">
      <c r="B17" s="23" t="s">
        <v>279</v>
      </c>
      <c r="C17" s="34" t="n">
        <f aca="false">Hypothèses!C20</f>
        <v>369000</v>
      </c>
      <c r="D17" s="35" t="n">
        <f aca="false">C17*(1+Hypothèses!C21)</f>
        <v>374535</v>
      </c>
      <c r="E17" s="35" t="n">
        <f aca="false">D17*(1+Hypothèses!C21)</f>
        <v>380153.025</v>
      </c>
      <c r="F17" s="35" t="n">
        <f aca="false">E17*(1+Hypothèses!C21)</f>
        <v>385855.320375</v>
      </c>
      <c r="G17" s="35" t="n">
        <f aca="false">F17*(1+Hypothèses!C21)</f>
        <v>391643.150180625</v>
      </c>
      <c r="H17" s="35" t="n">
        <f aca="false">G17*(1+Hypothèses!C21)</f>
        <v>397517.797433334</v>
      </c>
      <c r="I17" s="35" t="n">
        <f aca="false">H17*(1+Hypothèses!C21)</f>
        <v>403480.564394834</v>
      </c>
    </row>
    <row r="18" customFormat="false" ht="15" hidden="false" customHeight="true" outlineLevel="0" collapsed="false">
      <c r="B18" s="23" t="s">
        <v>280</v>
      </c>
      <c r="C18" s="34" t="n">
        <f aca="false">C14*Hypothèses!C29</f>
        <v>120344.3325</v>
      </c>
      <c r="D18" s="34" t="n">
        <f aca="false">D14*Hypothèses!C29</f>
        <v>123856.579602</v>
      </c>
      <c r="E18" s="34" t="n">
        <f aca="false">E14*Hypothèses!C29</f>
        <v>127473.106967441</v>
      </c>
      <c r="F18" s="34" t="n">
        <f aca="false">F14*Hypothèses!C29</f>
        <v>131197.038306206</v>
      </c>
      <c r="G18" s="34" t="n">
        <f aca="false">G14*Hypothèses!C29</f>
        <v>135031.591319896</v>
      </c>
      <c r="H18" s="34" t="n">
        <f aca="false">H14*Hypothèses!C29</f>
        <v>138980.080536389</v>
      </c>
      <c r="I18" s="34" t="n">
        <f aca="false">I14*Hypothèses!C29</f>
        <v>143045.920229982</v>
      </c>
    </row>
    <row r="19" customFormat="false" ht="15" hidden="false" customHeight="true" outlineLevel="0" collapsed="false">
      <c r="B19" s="23" t="s">
        <v>281</v>
      </c>
      <c r="C19" s="34" t="n">
        <f aca="false">C11*Hypothèses!C22</f>
        <v>98725.2</v>
      </c>
      <c r="D19" s="34" t="n">
        <f aca="false">D11*Hypothèses!C22</f>
        <v>101709.16917</v>
      </c>
      <c r="E19" s="34" t="n">
        <f aca="false">E11*Hypothèses!C22</f>
        <v>104783.328808163</v>
      </c>
      <c r="F19" s="34" t="n">
        <f aca="false">F11*Hypothèses!C22</f>
        <v>107950.40492139</v>
      </c>
      <c r="G19" s="34" t="n">
        <f aca="false">G11*Hypothèses!C22</f>
        <v>111213.205910139</v>
      </c>
      <c r="H19" s="34" t="n">
        <f aca="false">H11*Hypothèses!C22</f>
        <v>114574.625058773</v>
      </c>
      <c r="I19" s="34" t="n">
        <f aca="false">I11*Hypothèses!C22</f>
        <v>118037.643101174</v>
      </c>
    </row>
    <row r="20" customFormat="false" ht="15" hidden="false" customHeight="true" outlineLevel="0" collapsed="false">
      <c r="B20" s="23" t="s">
        <v>282</v>
      </c>
      <c r="C20" s="34" t="n">
        <f aca="false">C12*Hypothèses!C28</f>
        <v>18085.5675</v>
      </c>
      <c r="D20" s="34" t="n">
        <f aca="false">D12*Hypothèses!C28</f>
        <v>18356.8510125</v>
      </c>
      <c r="E20" s="34" t="n">
        <f aca="false">E12*Hypothèses!C28</f>
        <v>18632.2037776875</v>
      </c>
      <c r="F20" s="34" t="n">
        <f aca="false">F12*Hypothèses!C28</f>
        <v>18911.6868343528</v>
      </c>
      <c r="G20" s="34" t="n">
        <f aca="false">G12*Hypothèses!C28</f>
        <v>19195.3621368681</v>
      </c>
      <c r="H20" s="34" t="n">
        <f aca="false">H12*Hypothèses!C28</f>
        <v>19483.2925689211</v>
      </c>
      <c r="I20" s="34" t="n">
        <f aca="false">I12*Hypothèses!C28</f>
        <v>19775.5419574549</v>
      </c>
    </row>
    <row r="21" customFormat="false" ht="15" hidden="false" customHeight="true" outlineLevel="0" collapsed="false">
      <c r="B21" s="23" t="s">
        <v>283</v>
      </c>
      <c r="C21" s="34" t="n">
        <f aca="false">C11*Hypothèses!C23</f>
        <v>33143.46</v>
      </c>
      <c r="D21" s="34" t="n">
        <f aca="false">D11*Hypothèses!C23</f>
        <v>34145.2210785</v>
      </c>
      <c r="E21" s="34" t="n">
        <f aca="false">E11*Hypothèses!C23</f>
        <v>35177.2603855976</v>
      </c>
      <c r="F21" s="34" t="n">
        <f aca="false">F11*Hypothèses!C23</f>
        <v>36240.4930807523</v>
      </c>
      <c r="G21" s="34" t="n">
        <f aca="false">G11*Hypothèses!C23</f>
        <v>37335.8619841181</v>
      </c>
      <c r="H21" s="34" t="n">
        <f aca="false">H11*Hypothèses!C23</f>
        <v>38464.338412588</v>
      </c>
      <c r="I21" s="34" t="n">
        <f aca="false">I11*Hypothèses!C23</f>
        <v>39626.9230411085</v>
      </c>
    </row>
    <row r="22" customFormat="false" ht="15" hidden="false" customHeight="true" outlineLevel="0" collapsed="false">
      <c r="B22" s="23" t="s">
        <v>284</v>
      </c>
      <c r="C22" s="34" t="n">
        <f aca="false">C11*Hypothèses!C24</f>
        <v>35259</v>
      </c>
      <c r="D22" s="34" t="n">
        <f aca="false">D11*Hypothèses!C24</f>
        <v>36324.703275</v>
      </c>
      <c r="E22" s="34" t="n">
        <f aca="false">E11*Hypothèses!C24</f>
        <v>37422.6174314869</v>
      </c>
      <c r="F22" s="34" t="n">
        <f aca="false">F11*Hypothèses!C24</f>
        <v>38553.7160433535</v>
      </c>
      <c r="G22" s="34" t="n">
        <f aca="false">G11*Hypothèses!C24</f>
        <v>39719.0021107639</v>
      </c>
      <c r="H22" s="34" t="n">
        <f aca="false">H11*Hypothèses!C24</f>
        <v>40919.5089495617</v>
      </c>
      <c r="I22" s="34" t="n">
        <f aca="false">I11*Hypothèses!C24</f>
        <v>42156.3011075622</v>
      </c>
    </row>
    <row r="23" customFormat="false" ht="15" hidden="false" customHeight="true" outlineLevel="0" collapsed="false">
      <c r="B23" s="23" t="s">
        <v>285</v>
      </c>
      <c r="C23" s="34" t="n">
        <f aca="false">Hypothèses!C25</f>
        <v>10000</v>
      </c>
      <c r="D23" s="35" t="n">
        <f aca="false">C23*(1+Hypothèses!C21)</f>
        <v>10150</v>
      </c>
      <c r="E23" s="35" t="n">
        <f aca="false">D23*(1+Hypothèses!C21)</f>
        <v>10302.25</v>
      </c>
      <c r="F23" s="35" t="n">
        <f aca="false">E23*(1+Hypothèses!C21)</f>
        <v>10456.78375</v>
      </c>
      <c r="G23" s="35" t="n">
        <f aca="false">F23*(1+Hypothèses!C21)</f>
        <v>10613.63550625</v>
      </c>
      <c r="H23" s="35" t="n">
        <f aca="false">G23*(1+Hypothèses!C21)</f>
        <v>10772.8400388437</v>
      </c>
      <c r="I23" s="35" t="n">
        <f aca="false">H23*(1+Hypothèses!C21)</f>
        <v>10934.4326394264</v>
      </c>
    </row>
    <row r="24" customFormat="false" ht="15" hidden="false" customHeight="true" outlineLevel="0" collapsed="false">
      <c r="B24" s="23" t="s">
        <v>286</v>
      </c>
      <c r="C24" s="34" t="n">
        <f aca="false">Hypothèses!C26</f>
        <v>25000</v>
      </c>
      <c r="D24" s="34" t="n">
        <f aca="false">Hypothèses!C26</f>
        <v>25000</v>
      </c>
      <c r="E24" s="34" t="n">
        <f aca="false">Hypothèses!C26</f>
        <v>25000</v>
      </c>
      <c r="F24" s="34" t="n">
        <f aca="false">Hypothèses!C26</f>
        <v>25000</v>
      </c>
      <c r="G24" s="34" t="n">
        <f aca="false">Hypothèses!C26</f>
        <v>25000</v>
      </c>
      <c r="H24" s="34" t="n">
        <f aca="false">Hypothèses!C26</f>
        <v>25000</v>
      </c>
      <c r="I24" s="34" t="n">
        <f aca="false">Hypothèses!C26</f>
        <v>25000</v>
      </c>
    </row>
    <row r="25" customFormat="false" ht="15" hidden="false" customHeight="true" outlineLevel="0" collapsed="false">
      <c r="B25" s="23" t="s">
        <v>287</v>
      </c>
      <c r="C25" s="34" t="n">
        <f aca="false">Hypothèses!C27+0*500</f>
        <v>7500</v>
      </c>
      <c r="D25" s="34" t="n">
        <f aca="false">Hypothèses!C27+1*500</f>
        <v>8000</v>
      </c>
      <c r="E25" s="34" t="n">
        <f aca="false">Hypothèses!C27+2*500</f>
        <v>8500</v>
      </c>
      <c r="F25" s="34" t="n">
        <f aca="false">Hypothèses!C27+3*500</f>
        <v>9000</v>
      </c>
      <c r="G25" s="34" t="n">
        <f aca="false">Hypothèses!C27+4*500</f>
        <v>9500</v>
      </c>
      <c r="H25" s="34" t="n">
        <f aca="false">Hypothèses!C27+5*500</f>
        <v>10000</v>
      </c>
      <c r="I25" s="34" t="n">
        <f aca="false">Hypothèses!C27+6*500</f>
        <v>10500</v>
      </c>
    </row>
    <row r="26" customFormat="false" ht="18" hidden="false" customHeight="true" outlineLevel="0" collapsed="false">
      <c r="B26" s="55" t="s">
        <v>288</v>
      </c>
      <c r="C26" s="56" t="n">
        <f aca="false">SUM(C17:C25)</f>
        <v>717057.56</v>
      </c>
      <c r="D26" s="56" t="n">
        <f aca="false">SUM(D17:D25)</f>
        <v>732077.524138</v>
      </c>
      <c r="E26" s="56" t="n">
        <f aca="false">SUM(E17:E25)</f>
        <v>747443.792370376</v>
      </c>
      <c r="F26" s="56" t="n">
        <f aca="false">SUM(F17:F25)</f>
        <v>763165.443311055</v>
      </c>
      <c r="G26" s="56" t="n">
        <f aca="false">SUM(G17:G25)</f>
        <v>779251.80914866</v>
      </c>
      <c r="H26" s="56" t="n">
        <f aca="false">SUM(H17:H25)</f>
        <v>795712.48299841</v>
      </c>
      <c r="I26" s="56" t="n">
        <f aca="false">SUM(I17:I25)</f>
        <v>812557.326471542</v>
      </c>
    </row>
    <row r="28" customFormat="false" ht="15.75" hidden="false" customHeight="true" outlineLevel="0" collapsed="false">
      <c r="B28" s="5" t="s">
        <v>289</v>
      </c>
      <c r="C28" s="5"/>
      <c r="D28" s="5"/>
      <c r="E28" s="5"/>
      <c r="F28" s="5"/>
      <c r="G28" s="5"/>
      <c r="H28" s="5"/>
      <c r="I28" s="5"/>
    </row>
    <row r="29" customFormat="false" ht="18" hidden="false" customHeight="true" outlineLevel="0" collapsed="false">
      <c r="B29" s="57" t="s">
        <v>290</v>
      </c>
      <c r="C29" s="58" t="n">
        <f aca="false">C14-C17-C18-C19-C20-C21-C22-C23-C25</f>
        <v>110237.99</v>
      </c>
      <c r="D29" s="58" t="n">
        <f aca="false">D14-D17-D18-D19-D20-D21-D22-D23-D25</f>
        <v>118633.006542</v>
      </c>
      <c r="E29" s="58" t="n">
        <f aca="false">E14-E17-E18-E19-E20-E21-E22-E23-E25</f>
        <v>127376.920745895</v>
      </c>
      <c r="F29" s="58" t="n">
        <f aca="false">F14-F17-F18-F19-F20-F21-F22-F23-F25</f>
        <v>136481.478730321</v>
      </c>
      <c r="G29" s="58" t="n">
        <f aca="false">G14-G17-G18-G19-G20-G21-G22-G23-G25</f>
        <v>145958.79965065</v>
      </c>
      <c r="H29" s="58" t="n">
        <f aca="false">H14-H17-H18-H19-H20-H21-H22-H23-H25</f>
        <v>155821.38724418</v>
      </c>
      <c r="I29" s="58" t="n">
        <f aca="false">I14-I17-I18-I19-I20-I21-I22-I23-I25</f>
        <v>166082.141728337</v>
      </c>
    </row>
    <row r="30" customFormat="false" ht="15" hidden="false" customHeight="true" outlineLevel="0" collapsed="false">
      <c r="B30" s="23" t="s">
        <v>291</v>
      </c>
      <c r="C30" s="37" t="n">
        <f aca="false">IF(C14=0,0,C29/C14)</f>
        <v>0.137403217554927</v>
      </c>
      <c r="D30" s="37" t="n">
        <f aca="false">IF(D14=0,0,D29/D14)</f>
        <v>0.143673844687801</v>
      </c>
      <c r="E30" s="37" t="n">
        <f aca="false">IF(E14=0,0,E29/E14)</f>
        <v>0.149886815865911</v>
      </c>
      <c r="F30" s="37" t="n">
        <f aca="false">IF(F14=0,0,F29/F14)</f>
        <v>0.156041798457121</v>
      </c>
      <c r="G30" s="37" t="n">
        <f aca="false">IF(G14=0,0,G29/G14)</f>
        <v>0.162138502061565</v>
      </c>
      <c r="H30" s="37" t="n">
        <f aca="false">IF(H14=0,0,H29/H14)</f>
        <v>0.168176676804467</v>
      </c>
      <c r="I30" s="37" t="n">
        <f aca="false">IF(I14=0,0,I29/I14)</f>
        <v>0.174156111682163</v>
      </c>
    </row>
    <row r="31" customFormat="false" ht="15" hidden="false" customHeight="true" outlineLevel="0" collapsed="false">
      <c r="B31" s="59" t="s">
        <v>292</v>
      </c>
      <c r="C31" s="60" t="n">
        <f aca="false">C29-C24</f>
        <v>85237.99</v>
      </c>
      <c r="D31" s="60" t="n">
        <f aca="false">D29-D24</f>
        <v>93633.006542</v>
      </c>
      <c r="E31" s="60" t="n">
        <f aca="false">E29-E24</f>
        <v>102376.920745895</v>
      </c>
      <c r="F31" s="60" t="n">
        <f aca="false">F29-F24</f>
        <v>111481.478730321</v>
      </c>
      <c r="G31" s="60" t="n">
        <f aca="false">G29-G24</f>
        <v>120958.79965065</v>
      </c>
      <c r="H31" s="60" t="n">
        <f aca="false">H29-H24</f>
        <v>130821.38724418</v>
      </c>
      <c r="I31" s="60" t="n">
        <f aca="false">I29-I24</f>
        <v>141082.141728337</v>
      </c>
    </row>
    <row r="32" customFormat="false" ht="15" hidden="false" customHeight="true" outlineLevel="0" collapsed="false">
      <c r="B32" s="23" t="s">
        <v>293</v>
      </c>
      <c r="C32" s="34" t="n">
        <f aca="false">IFERROR(PMT(Hypothèses!C40,Hypothèses!C41,-'Plan Financement'!C13),0)</f>
        <v>120973.87291232</v>
      </c>
      <c r="D32" s="34" t="n">
        <f aca="false">IFERROR(PMT(Hypothèses!C40,Hypothèses!C41,-'Plan Financement'!C13),0)</f>
        <v>120973.87291232</v>
      </c>
      <c r="E32" s="34" t="n">
        <f aca="false">IFERROR(PMT(Hypothèses!C40,Hypothèses!C41,-'Plan Financement'!C13),0)</f>
        <v>120973.87291232</v>
      </c>
      <c r="F32" s="34" t="n">
        <f aca="false">IFERROR(PMT(Hypothèses!C40,Hypothèses!C41,-'Plan Financement'!C13),0)</f>
        <v>120973.87291232</v>
      </c>
      <c r="G32" s="34" t="n">
        <f aca="false">IFERROR(PMT(Hypothèses!C40,Hypothèses!C41,-'Plan Financement'!C13),0)</f>
        <v>120973.87291232</v>
      </c>
      <c r="H32" s="34" t="n">
        <f aca="false">IFERROR(PMT(Hypothèses!C40,Hypothèses!C41,-'Plan Financement'!C13),0)</f>
        <v>120973.87291232</v>
      </c>
      <c r="I32" s="34" t="n">
        <f aca="false">IFERROR(PMT(Hypothèses!C40,Hypothèses!C41,-'Plan Financement'!C13),0)</f>
        <v>120973.87291232</v>
      </c>
    </row>
    <row r="33" customFormat="false" ht="15" hidden="false" customHeight="true" outlineLevel="0" collapsed="false">
      <c r="B33" s="23" t="s">
        <v>294</v>
      </c>
      <c r="C33" s="35" t="n">
        <f aca="false">C31-C32</f>
        <v>-35735.8829123195</v>
      </c>
      <c r="D33" s="35" t="n">
        <f aca="false">D31-D32</f>
        <v>-27340.8663703195</v>
      </c>
      <c r="E33" s="35" t="n">
        <f aca="false">E31-E32</f>
        <v>-18596.9521664241</v>
      </c>
      <c r="F33" s="35" t="n">
        <f aca="false">F31-F32</f>
        <v>-9492.39418199829</v>
      </c>
      <c r="G33" s="35" t="n">
        <f aca="false">G31-G32</f>
        <v>-15.0732616698224</v>
      </c>
      <c r="H33" s="35" t="n">
        <f aca="false">H31-H32</f>
        <v>9847.51433186095</v>
      </c>
      <c r="I33" s="35" t="n">
        <f aca="false">I31-I32</f>
        <v>20108.2688160176</v>
      </c>
    </row>
  </sheetData>
  <mergeCells count="5">
    <mergeCell ref="B1:I1"/>
    <mergeCell ref="B4:I4"/>
    <mergeCell ref="B10:I10"/>
    <mergeCell ref="B16:I16"/>
    <mergeCell ref="B28:I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6400"/>
    <pageSetUpPr fitToPage="false"/>
  </sheetPr>
  <dimension ref="B1:J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"/>
    <col collapsed="false" customWidth="true" hidden="false" outlineLevel="0" max="10" min="3" style="1" width="14"/>
    <col collapsed="false" customWidth="true" hidden="false" outlineLevel="0" max="11" min="11" style="1" width="2"/>
  </cols>
  <sheetData>
    <row r="1" customFormat="false" ht="30" hidden="false" customHeight="true" outlineLevel="0" collapsed="false">
      <c r="B1" s="21" t="s">
        <v>295</v>
      </c>
      <c r="C1" s="21"/>
      <c r="D1" s="21"/>
      <c r="E1" s="21"/>
      <c r="F1" s="21"/>
      <c r="G1" s="21"/>
      <c r="H1" s="21"/>
      <c r="I1" s="21"/>
      <c r="J1" s="21"/>
    </row>
    <row r="3" customFormat="false" ht="21.75" hidden="false" customHeight="true" outlineLevel="0" collapsed="false">
      <c r="B3" s="50" t="s">
        <v>296</v>
      </c>
      <c r="C3" s="61" t="s">
        <v>297</v>
      </c>
      <c r="D3" s="61" t="s">
        <v>298</v>
      </c>
      <c r="E3" s="61" t="s">
        <v>299</v>
      </c>
      <c r="F3" s="61" t="s">
        <v>300</v>
      </c>
      <c r="G3" s="61" t="s">
        <v>301</v>
      </c>
      <c r="H3" s="61" t="s">
        <v>302</v>
      </c>
      <c r="I3" s="61" t="s">
        <v>303</v>
      </c>
      <c r="J3" s="61" t="s">
        <v>304</v>
      </c>
    </row>
    <row r="4" customFormat="false" ht="15.75" hidden="false" customHeight="true" outlineLevel="0" collapsed="false">
      <c r="B4" s="5" t="s">
        <v>305</v>
      </c>
      <c r="C4" s="5"/>
      <c r="D4" s="5"/>
      <c r="E4" s="5"/>
      <c r="F4" s="5"/>
      <c r="G4" s="5"/>
      <c r="H4" s="5"/>
      <c r="I4" s="5"/>
      <c r="J4" s="5"/>
    </row>
    <row r="5" customFormat="false" ht="15" hidden="false" customHeight="true" outlineLevel="0" collapsed="false">
      <c r="B5" s="23" t="s">
        <v>306</v>
      </c>
      <c r="C5" s="34" t="n">
        <f aca="false">-'Capital SAS'!J12</f>
        <v>-825000</v>
      </c>
      <c r="D5" s="62" t="n">
        <v>0</v>
      </c>
      <c r="E5" s="62" t="n">
        <v>0</v>
      </c>
      <c r="F5" s="62" t="n">
        <v>0</v>
      </c>
      <c r="G5" s="62" t="n">
        <v>0</v>
      </c>
      <c r="H5" s="62" t="n">
        <v>0</v>
      </c>
      <c r="I5" s="62" t="n">
        <v>0</v>
      </c>
      <c r="J5" s="62" t="n">
        <v>0</v>
      </c>
    </row>
    <row r="6" customFormat="false" ht="15.75" hidden="false" customHeight="true" outlineLevel="0" collapsed="false">
      <c r="B6" s="5" t="s">
        <v>307</v>
      </c>
      <c r="C6" s="5"/>
      <c r="D6" s="5"/>
      <c r="E6" s="5"/>
      <c r="F6" s="5"/>
      <c r="G6" s="5"/>
      <c r="H6" s="5"/>
      <c r="I6" s="5"/>
      <c r="J6" s="5"/>
    </row>
    <row r="7" customFormat="false" ht="15" hidden="false" customHeight="true" outlineLevel="0" collapsed="false">
      <c r="B7" s="23" t="s">
        <v>308</v>
      </c>
      <c r="C7" s="63" t="n">
        <v>0</v>
      </c>
      <c r="D7" s="34" t="n">
        <f aca="false">'Exploitation P&amp;L'!C29</f>
        <v>110237.99</v>
      </c>
      <c r="E7" s="34" t="n">
        <f aca="false">'Exploitation P&amp;L'!D29</f>
        <v>118633.006542</v>
      </c>
      <c r="F7" s="34" t="n">
        <f aca="false">'Exploitation P&amp;L'!E29</f>
        <v>127376.920745895</v>
      </c>
      <c r="G7" s="34" t="n">
        <f aca="false">'Exploitation P&amp;L'!F29</f>
        <v>136481.478730321</v>
      </c>
      <c r="H7" s="34" t="n">
        <f aca="false">'Exploitation P&amp;L'!G29</f>
        <v>145958.79965065</v>
      </c>
      <c r="I7" s="34" t="n">
        <f aca="false">'Exploitation P&amp;L'!H29</f>
        <v>155821.38724418</v>
      </c>
      <c r="J7" s="34" t="n">
        <f aca="false">'Exploitation P&amp;L'!I29</f>
        <v>166082.141728337</v>
      </c>
    </row>
    <row r="8" customFormat="false" ht="15" hidden="false" customHeight="true" outlineLevel="0" collapsed="false">
      <c r="B8" s="23" t="s">
        <v>309</v>
      </c>
      <c r="C8" s="63" t="n">
        <v>0</v>
      </c>
      <c r="D8" s="34" t="n">
        <f aca="false">-IFERROR(PMT(Hypothèses!C34,Hypothèses!C35,-'Plan Financement'!C12),0)</f>
        <v>-88887.4618771792</v>
      </c>
      <c r="E8" s="34" t="n">
        <f aca="false">-IFERROR(PMT(Hypothèses!C34,Hypothèses!C35,-'Plan Financement'!C12),0)</f>
        <v>-88887.4618771792</v>
      </c>
      <c r="F8" s="34" t="n">
        <f aca="false">-IFERROR(PMT(Hypothèses!C34,Hypothèses!C35,-'Plan Financement'!C12),0)</f>
        <v>-88887.4618771792</v>
      </c>
      <c r="G8" s="34" t="n">
        <f aca="false">-IFERROR(PMT(Hypothèses!C34,Hypothèses!C35,-'Plan Financement'!C12),0)</f>
        <v>-88887.4618771792</v>
      </c>
      <c r="H8" s="34" t="n">
        <f aca="false">-IFERROR(PMT(Hypothèses!C34,Hypothèses!C35,-'Plan Financement'!C12),0)</f>
        <v>-88887.4618771792</v>
      </c>
      <c r="I8" s="34" t="n">
        <f aca="false">-IFERROR(PMT(Hypothèses!C34,Hypothèses!C35,-'Plan Financement'!C12),0)</f>
        <v>-88887.4618771792</v>
      </c>
      <c r="J8" s="34" t="n">
        <f aca="false">-IFERROR(PMT(Hypothèses!C34,Hypothèses!C35,-'Plan Financement'!C12),0)</f>
        <v>-88887.4618771792</v>
      </c>
    </row>
    <row r="9" customFormat="false" ht="15" hidden="false" customHeight="true" outlineLevel="0" collapsed="false">
      <c r="B9" s="23" t="s">
        <v>310</v>
      </c>
      <c r="C9" s="63" t="n">
        <v>0</v>
      </c>
      <c r="D9" s="34" t="n">
        <f aca="false">-IFERROR(PMT(Hypothèses!C40,Hypothèses!C41,-'Plan Financement'!C13),0)</f>
        <v>-120973.87291232</v>
      </c>
      <c r="E9" s="34" t="n">
        <f aca="false">-IFERROR(PMT(Hypothèses!C40,Hypothèses!C41,-'Plan Financement'!C13),0)</f>
        <v>-120973.87291232</v>
      </c>
      <c r="F9" s="34" t="n">
        <f aca="false">-IFERROR(PMT(Hypothèses!C40,Hypothèses!C41,-'Plan Financement'!C13),0)</f>
        <v>-120973.87291232</v>
      </c>
      <c r="G9" s="34" t="n">
        <f aca="false">-IFERROR(PMT(Hypothèses!C40,Hypothèses!C41,-'Plan Financement'!C13),0)</f>
        <v>-120973.87291232</v>
      </c>
      <c r="H9" s="34" t="n">
        <f aca="false">-IFERROR(PMT(Hypothèses!C40,Hypothèses!C41,-'Plan Financement'!C13),0)</f>
        <v>-120973.87291232</v>
      </c>
      <c r="I9" s="34" t="n">
        <f aca="false">-IFERROR(PMT(Hypothèses!C40,Hypothèses!C41,-'Plan Financement'!C13),0)</f>
        <v>-120973.87291232</v>
      </c>
      <c r="J9" s="34" t="n">
        <f aca="false">-IFERROR(PMT(Hypothèses!C40,Hypothèses!C41,-'Plan Financement'!C13),0)</f>
        <v>-120973.87291232</v>
      </c>
    </row>
    <row r="10" customFormat="false" ht="15" hidden="false" customHeight="true" outlineLevel="0" collapsed="false">
      <c r="B10" s="23" t="s">
        <v>311</v>
      </c>
      <c r="C10" s="63" t="n">
        <v>0</v>
      </c>
      <c r="D10" s="62" t="n">
        <v>0</v>
      </c>
      <c r="E10" s="62" t="n">
        <v>0</v>
      </c>
      <c r="F10" s="34" t="n">
        <f aca="false">MAX(0,'Exploitation P&amp;L'!E31*0.5)</f>
        <v>51188.4603729477</v>
      </c>
      <c r="G10" s="34" t="n">
        <f aca="false">MAX(0,'Exploitation P&amp;L'!F31*0.5)</f>
        <v>55740.7393651606</v>
      </c>
      <c r="H10" s="34" t="n">
        <f aca="false">MAX(0,'Exploitation P&amp;L'!G31*0.5)</f>
        <v>60479.3998253248</v>
      </c>
      <c r="I10" s="34" t="n">
        <f aca="false">MAX(0,'Exploitation P&amp;L'!H31*0.5)</f>
        <v>65410.6936220902</v>
      </c>
      <c r="J10" s="34" t="n">
        <f aca="false">MAX(0,'Exploitation P&amp;L'!I31*0.5)</f>
        <v>70541.0708641685</v>
      </c>
    </row>
    <row r="11" customFormat="false" ht="15" hidden="false" customHeight="true" outlineLevel="0" collapsed="false">
      <c r="B11" s="23" t="s">
        <v>312</v>
      </c>
      <c r="C11" s="62" t="n">
        <v>0</v>
      </c>
      <c r="D11" s="62" t="n">
        <v>0</v>
      </c>
      <c r="E11" s="62" t="n">
        <v>0</v>
      </c>
      <c r="F11" s="62" t="n">
        <v>0</v>
      </c>
      <c r="G11" s="62" t="n">
        <v>0</v>
      </c>
      <c r="H11" s="62" t="n">
        <v>0</v>
      </c>
      <c r="I11" s="62" t="n">
        <v>0</v>
      </c>
      <c r="J11" s="34" t="n">
        <f aca="false">'Sortie Valorisation'!D20</f>
        <v>0</v>
      </c>
    </row>
    <row r="12" customFormat="false" ht="18" hidden="false" customHeight="true" outlineLevel="0" collapsed="false">
      <c r="B12" s="32" t="s">
        <v>313</v>
      </c>
      <c r="C12" s="33" t="n">
        <f aca="false">C5</f>
        <v>-825000</v>
      </c>
      <c r="D12" s="33" t="n">
        <f aca="false">D7+D8+D9+D10+D11</f>
        <v>-99623.3447894987</v>
      </c>
      <c r="E12" s="33" t="n">
        <f aca="false">E7+E8+E9+E10+E11</f>
        <v>-91228.3282474988</v>
      </c>
      <c r="F12" s="33" t="n">
        <f aca="false">F7+F8+F9+F10+F11</f>
        <v>-31295.9536706556</v>
      </c>
      <c r="G12" s="33" t="n">
        <f aca="false">G7+G8+G9+G10+G11</f>
        <v>-17639.1166940169</v>
      </c>
      <c r="H12" s="33" t="n">
        <f aca="false">H7+H8+H9+H10+H11</f>
        <v>-3423.13531352421</v>
      </c>
      <c r="I12" s="33" t="n">
        <f aca="false">I7+I8+I9+I10+I11</f>
        <v>11370.7460767719</v>
      </c>
      <c r="J12" s="33" t="n">
        <f aca="false">J7+J8+J9+J10+J11</f>
        <v>26761.8778030069</v>
      </c>
    </row>
    <row r="14" customFormat="false" ht="15.75" hidden="false" customHeight="true" outlineLevel="0" collapsed="false">
      <c r="B14" s="5" t="s">
        <v>314</v>
      </c>
      <c r="C14" s="5"/>
      <c r="D14" s="5"/>
      <c r="E14" s="5"/>
      <c r="F14" s="5"/>
      <c r="G14" s="5"/>
      <c r="H14" s="5"/>
      <c r="I14" s="5"/>
      <c r="J14" s="5"/>
    </row>
    <row r="15" customFormat="false" ht="15" hidden="false" customHeight="true" outlineLevel="0" collapsed="false">
      <c r="B15" s="23" t="s">
        <v>315</v>
      </c>
      <c r="C15" s="64" t="str">
        <f aca="false">IFERROR(IRR(C12:J12),"Calc")</f>
        <v>Calc</v>
      </c>
    </row>
    <row r="16" customFormat="false" ht="15" hidden="false" customHeight="true" outlineLevel="0" collapsed="false">
      <c r="B16" s="23" t="s">
        <v>316</v>
      </c>
      <c r="C16" s="34" t="n">
        <f aca="false">-C5</f>
        <v>825000</v>
      </c>
    </row>
    <row r="17" customFormat="false" ht="15" hidden="false" customHeight="true" outlineLevel="0" collapsed="false">
      <c r="B17" s="23" t="s">
        <v>317</v>
      </c>
      <c r="C17" s="35" t="n">
        <f aca="false">SUM(D12:J12)</f>
        <v>-205077.254835415</v>
      </c>
    </row>
    <row r="18" customFormat="false" ht="15" hidden="false" customHeight="true" outlineLevel="0" collapsed="false">
      <c r="B18" s="23" t="s">
        <v>318</v>
      </c>
      <c r="C18" s="65" t="n">
        <f aca="false">IFERROR(C17/C16,"Calc")</f>
        <v>-0.248578490709594</v>
      </c>
    </row>
  </sheetData>
  <mergeCells count="4">
    <mergeCell ref="B1:J1"/>
    <mergeCell ref="B4:J4"/>
    <mergeCell ref="B6:J6"/>
    <mergeCell ref="B14:J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A3B00"/>
    <pageSetUpPr fitToPage="false"/>
  </sheetPr>
  <dimension ref="B1:G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"/>
    <col collapsed="false" customWidth="true" hidden="false" outlineLevel="0" max="5" min="3" style="1" width="18"/>
    <col collapsed="false" customWidth="true" hidden="false" outlineLevel="0" max="6" min="6" style="1" width="2"/>
  </cols>
  <sheetData>
    <row r="1" customFormat="false" ht="30" hidden="false" customHeight="true" outlineLevel="0" collapsed="false">
      <c r="B1" s="21" t="s">
        <v>319</v>
      </c>
      <c r="C1" s="21"/>
      <c r="D1" s="21"/>
      <c r="E1" s="21"/>
    </row>
    <row r="3" customFormat="false" ht="21.75" hidden="false" customHeight="true" outlineLevel="0" collapsed="false">
      <c r="C3" s="66" t="s">
        <v>320</v>
      </c>
      <c r="D3" s="67" t="s">
        <v>321</v>
      </c>
      <c r="E3" s="68" t="s">
        <v>322</v>
      </c>
    </row>
    <row r="4" customFormat="false" ht="15.75" hidden="false" customHeight="true" outlineLevel="0" collapsed="false">
      <c r="B4" s="5" t="s">
        <v>323</v>
      </c>
      <c r="C4" s="5"/>
      <c r="D4" s="5"/>
      <c r="E4" s="5"/>
    </row>
    <row r="5" customFormat="false" ht="15" hidden="false" customHeight="true" outlineLevel="0" collapsed="false">
      <c r="B5" s="23" t="s">
        <v>324</v>
      </c>
      <c r="C5" s="69" t="s">
        <v>325</v>
      </c>
      <c r="D5" s="70" t="s">
        <v>326</v>
      </c>
      <c r="E5" s="71" t="s">
        <v>327</v>
      </c>
    </row>
    <row r="6" customFormat="false" ht="15" hidden="false" customHeight="true" outlineLevel="0" collapsed="false">
      <c r="B6" s="23" t="s">
        <v>328</v>
      </c>
      <c r="C6" s="69" t="s">
        <v>329</v>
      </c>
      <c r="D6" s="70" t="s">
        <v>330</v>
      </c>
      <c r="E6" s="71" t="s">
        <v>331</v>
      </c>
    </row>
    <row r="7" customFormat="false" ht="15" hidden="false" customHeight="true" outlineLevel="0" collapsed="false">
      <c r="B7" s="23" t="s">
        <v>332</v>
      </c>
      <c r="C7" s="69" t="s">
        <v>333</v>
      </c>
      <c r="D7" s="70" t="s">
        <v>334</v>
      </c>
      <c r="E7" s="71" t="s">
        <v>335</v>
      </c>
    </row>
    <row r="8" customFormat="false" ht="15" hidden="false" customHeight="true" outlineLevel="0" collapsed="false">
      <c r="B8" s="23" t="s">
        <v>336</v>
      </c>
      <c r="C8" s="69" t="s">
        <v>337</v>
      </c>
      <c r="D8" s="70" t="s">
        <v>338</v>
      </c>
      <c r="E8" s="71" t="s">
        <v>339</v>
      </c>
    </row>
    <row r="9" customFormat="false" ht="15" hidden="false" customHeight="true" outlineLevel="0" collapsed="false">
      <c r="B9" s="23" t="s">
        <v>340</v>
      </c>
      <c r="C9" s="69" t="s">
        <v>341</v>
      </c>
      <c r="D9" s="70" t="s">
        <v>342</v>
      </c>
      <c r="E9" s="71" t="s">
        <v>343</v>
      </c>
    </row>
    <row r="10" customFormat="false" ht="15" hidden="false" customHeight="true" outlineLevel="0" collapsed="false">
      <c r="B10" s="23" t="s">
        <v>344</v>
      </c>
      <c r="C10" s="69" t="s">
        <v>345</v>
      </c>
      <c r="D10" s="70" t="s">
        <v>345</v>
      </c>
      <c r="E10" s="71" t="s">
        <v>346</v>
      </c>
    </row>
    <row r="11" customFormat="false" ht="15" hidden="false" customHeight="true" outlineLevel="0" collapsed="false">
      <c r="B11" s="23" t="s">
        <v>347</v>
      </c>
      <c r="C11" s="69" t="s">
        <v>348</v>
      </c>
      <c r="D11" s="70" t="s">
        <v>349</v>
      </c>
      <c r="E11" s="71" t="s">
        <v>350</v>
      </c>
    </row>
    <row r="12" customFormat="false" ht="15" hidden="false" customHeight="true" outlineLevel="0" collapsed="false">
      <c r="B12" s="23" t="s">
        <v>351</v>
      </c>
      <c r="C12" s="69" t="s">
        <v>352</v>
      </c>
      <c r="D12" s="70" t="s">
        <v>353</v>
      </c>
      <c r="E12" s="71" t="s">
        <v>354</v>
      </c>
    </row>
    <row r="14" customFormat="false" ht="15.75" hidden="false" customHeight="true" outlineLevel="0" collapsed="false">
      <c r="B14" s="5" t="s">
        <v>355</v>
      </c>
      <c r="C14" s="5"/>
      <c r="D14" s="5"/>
      <c r="E14" s="5"/>
    </row>
    <row r="15" customFormat="false" ht="15" hidden="false" customHeight="true" outlineLevel="0" collapsed="false">
      <c r="B15" s="23" t="s">
        <v>356</v>
      </c>
      <c r="C15" s="72" t="s">
        <v>357</v>
      </c>
      <c r="D15" s="73" t="s">
        <v>358</v>
      </c>
      <c r="E15" s="74" t="s">
        <v>359</v>
      </c>
    </row>
    <row r="16" customFormat="false" ht="15" hidden="false" customHeight="true" outlineLevel="0" collapsed="false">
      <c r="B16" s="23" t="s">
        <v>360</v>
      </c>
      <c r="C16" s="72" t="s">
        <v>361</v>
      </c>
      <c r="D16" s="73" t="s">
        <v>362</v>
      </c>
      <c r="E16" s="74" t="s">
        <v>363</v>
      </c>
    </row>
    <row r="17" customFormat="false" ht="15" hidden="false" customHeight="true" outlineLevel="0" collapsed="false">
      <c r="B17" s="23" t="s">
        <v>364</v>
      </c>
      <c r="C17" s="72" t="s">
        <v>365</v>
      </c>
      <c r="D17" s="73" t="s">
        <v>366</v>
      </c>
      <c r="E17" s="74" t="s">
        <v>367</v>
      </c>
    </row>
    <row r="18" customFormat="false" ht="15" hidden="false" customHeight="true" outlineLevel="0" collapsed="false">
      <c r="B18" s="23" t="s">
        <v>368</v>
      </c>
      <c r="C18" s="72" t="s">
        <v>369</v>
      </c>
      <c r="D18" s="73" t="s">
        <v>370</v>
      </c>
      <c r="E18" s="74" t="s">
        <v>371</v>
      </c>
    </row>
    <row r="19" customFormat="false" ht="15" hidden="false" customHeight="true" outlineLevel="0" collapsed="false">
      <c r="B19" s="23" t="s">
        <v>372</v>
      </c>
      <c r="C19" s="72" t="s">
        <v>373</v>
      </c>
      <c r="D19" s="73" t="s">
        <v>373</v>
      </c>
      <c r="E19" s="74" t="s">
        <v>373</v>
      </c>
    </row>
    <row r="20" customFormat="false" ht="15" hidden="false" customHeight="true" outlineLevel="0" collapsed="false">
      <c r="B20" s="23" t="s">
        <v>374</v>
      </c>
      <c r="C20" s="72" t="s">
        <v>375</v>
      </c>
      <c r="D20" s="73" t="s">
        <v>376</v>
      </c>
      <c r="E20" s="74" t="s">
        <v>377</v>
      </c>
    </row>
    <row r="21" customFormat="false" ht="15" hidden="false" customHeight="true" outlineLevel="0" collapsed="false">
      <c r="B21" s="23" t="s">
        <v>210</v>
      </c>
      <c r="C21" s="75" t="s">
        <v>378</v>
      </c>
      <c r="D21" s="76" t="s">
        <v>379</v>
      </c>
      <c r="E21" s="77" t="s">
        <v>380</v>
      </c>
    </row>
    <row r="22" customFormat="false" ht="15" hidden="false" customHeight="true" outlineLevel="0" collapsed="false">
      <c r="B22" s="23" t="s">
        <v>381</v>
      </c>
      <c r="C22" s="75" t="s">
        <v>382</v>
      </c>
      <c r="D22" s="76" t="s">
        <v>383</v>
      </c>
      <c r="E22" s="77" t="s">
        <v>384</v>
      </c>
    </row>
    <row r="24" customFormat="false" ht="15.75" hidden="false" customHeight="true" outlineLevel="0" collapsed="false">
      <c r="B24" s="5" t="s">
        <v>385</v>
      </c>
      <c r="C24" s="5"/>
      <c r="D24" s="5"/>
      <c r="E24" s="5"/>
    </row>
    <row r="25" customFormat="false" ht="13.5" hidden="false" customHeight="true" outlineLevel="0" collapsed="false">
      <c r="B25" s="78" t="s">
        <v>386</v>
      </c>
      <c r="C25" s="79" t="s">
        <v>387</v>
      </c>
      <c r="D25" s="79" t="s">
        <v>333</v>
      </c>
      <c r="E25" s="79" t="s">
        <v>334</v>
      </c>
      <c r="F25" s="79" t="s">
        <v>337</v>
      </c>
      <c r="G25" s="79" t="s">
        <v>388</v>
      </c>
    </row>
    <row r="26" customFormat="false" ht="15" hidden="false" customHeight="true" outlineLevel="0" collapsed="false">
      <c r="B26" s="80" t="s">
        <v>389</v>
      </c>
      <c r="C26" s="81" t="n">
        <v>-6000</v>
      </c>
      <c r="D26" s="81" t="n">
        <v>22000</v>
      </c>
      <c r="E26" s="81" t="n">
        <v>42000</v>
      </c>
      <c r="F26" s="81" t="n">
        <v>61000</v>
      </c>
      <c r="G26" s="81" t="n">
        <v>89000</v>
      </c>
    </row>
    <row r="27" customFormat="false" ht="15" hidden="false" customHeight="true" outlineLevel="0" collapsed="false">
      <c r="B27" s="80" t="s">
        <v>390</v>
      </c>
      <c r="C27" s="81" t="n">
        <v>15000</v>
      </c>
      <c r="D27" s="81" t="n">
        <v>45000</v>
      </c>
      <c r="E27" s="81" t="n">
        <v>66000</v>
      </c>
      <c r="F27" s="81" t="n">
        <v>86000</v>
      </c>
      <c r="G27" s="82" t="n">
        <v>116000</v>
      </c>
    </row>
    <row r="28" customFormat="false" ht="15" hidden="false" customHeight="true" outlineLevel="0" collapsed="false">
      <c r="B28" s="80" t="s">
        <v>391</v>
      </c>
      <c r="C28" s="81" t="n">
        <v>29000</v>
      </c>
      <c r="D28" s="81" t="n">
        <v>61000</v>
      </c>
      <c r="E28" s="81" t="n">
        <v>82000</v>
      </c>
      <c r="F28" s="82" t="n">
        <v>102000</v>
      </c>
      <c r="G28" s="82" t="n">
        <v>134000</v>
      </c>
    </row>
    <row r="29" customFormat="false" ht="15" hidden="false" customHeight="true" outlineLevel="0" collapsed="false">
      <c r="B29" s="80" t="s">
        <v>392</v>
      </c>
      <c r="C29" s="81" t="n">
        <v>51000</v>
      </c>
      <c r="D29" s="81" t="n">
        <v>84000</v>
      </c>
      <c r="E29" s="82" t="n">
        <v>106000</v>
      </c>
      <c r="F29" s="82" t="n">
        <v>128000</v>
      </c>
      <c r="G29" s="82" t="n">
        <v>160000</v>
      </c>
    </row>
    <row r="30" customFormat="false" ht="15" hidden="false" customHeight="true" outlineLevel="0" collapsed="false">
      <c r="B30" s="80" t="s">
        <v>393</v>
      </c>
      <c r="C30" s="81" t="n">
        <v>79000</v>
      </c>
      <c r="D30" s="82" t="n">
        <v>114000</v>
      </c>
      <c r="E30" s="82" t="n">
        <v>138000</v>
      </c>
      <c r="F30" s="82" t="n">
        <v>161000</v>
      </c>
      <c r="G30" s="82" t="n">
        <v>196000</v>
      </c>
    </row>
  </sheetData>
  <mergeCells count="4">
    <mergeCell ref="B1:E1"/>
    <mergeCell ref="B4:E4"/>
    <mergeCell ref="B14:E14"/>
    <mergeCell ref="B24:E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8A96E"/>
    <pageSetUpPr fitToPage="false"/>
  </sheetPr>
  <dimension ref="B1:E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"/>
    <col collapsed="false" customWidth="true" hidden="false" outlineLevel="0" max="5" min="3" style="1" width="18"/>
    <col collapsed="false" customWidth="true" hidden="false" outlineLevel="0" max="6" min="6" style="1" width="2"/>
  </cols>
  <sheetData>
    <row r="1" customFormat="false" ht="30" hidden="false" customHeight="true" outlineLevel="0" collapsed="false">
      <c r="B1" s="21" t="s">
        <v>394</v>
      </c>
      <c r="C1" s="21"/>
      <c r="D1" s="21"/>
      <c r="E1" s="21"/>
    </row>
    <row r="3" customFormat="false" ht="21.75" hidden="false" customHeight="true" outlineLevel="0" collapsed="false">
      <c r="C3" s="75" t="s">
        <v>320</v>
      </c>
      <c r="D3" s="83" t="s">
        <v>321</v>
      </c>
      <c r="E3" s="77" t="s">
        <v>322</v>
      </c>
    </row>
    <row r="4" customFormat="false" ht="15.75" hidden="false" customHeight="true" outlineLevel="0" collapsed="false">
      <c r="B4" s="5" t="s">
        <v>395</v>
      </c>
      <c r="C4" s="5"/>
      <c r="D4" s="5"/>
      <c r="E4" s="5"/>
    </row>
    <row r="5" customFormat="false" ht="15" hidden="false" customHeight="true" outlineLevel="0" collapsed="false">
      <c r="B5" s="23" t="s">
        <v>396</v>
      </c>
      <c r="C5" s="84" t="n">
        <f aca="false">'Exploitation P&amp;L'!I29*0.85</f>
        <v>141169.820469087</v>
      </c>
      <c r="D5" s="85" t="n">
        <f aca="false">'Exploitation P&amp;L'!I29</f>
        <v>166082.141728337</v>
      </c>
      <c r="E5" s="86" t="n">
        <f aca="false">'Exploitation P&amp;L'!I29*1.15</f>
        <v>190994.462987588</v>
      </c>
    </row>
    <row r="6" customFormat="false" ht="15" hidden="false" customHeight="true" outlineLevel="0" collapsed="false">
      <c r="B6" s="23" t="s">
        <v>397</v>
      </c>
      <c r="C6" s="87" t="n">
        <f aca="false">Hypothèses!C45</f>
        <v>5.5</v>
      </c>
      <c r="D6" s="88" t="n">
        <f aca="false">Hypothèses!C46</f>
        <v>6.5</v>
      </c>
      <c r="E6" s="89" t="n">
        <f aca="false">Hypothèses!C47</f>
        <v>7.5</v>
      </c>
    </row>
    <row r="7" customFormat="false" ht="15" hidden="false" customHeight="true" outlineLevel="0" collapsed="false">
      <c r="B7" s="23" t="s">
        <v>398</v>
      </c>
      <c r="C7" s="90" t="n">
        <f aca="false">C5*C6</f>
        <v>776434.012579976</v>
      </c>
      <c r="D7" s="91" t="n">
        <f aca="false">D5*D6</f>
        <v>1079533.92123419</v>
      </c>
      <c r="E7" s="92" t="n">
        <f aca="false">E5*E6</f>
        <v>1432458.47240691</v>
      </c>
    </row>
    <row r="8" customFormat="false" ht="15" hidden="false" customHeight="true" outlineLevel="0" collapsed="false">
      <c r="B8" s="23" t="s">
        <v>399</v>
      </c>
      <c r="C8" s="93" t="n">
        <f aca="false">Hypothèses!C48</f>
        <v>0.04</v>
      </c>
      <c r="D8" s="94" t="n">
        <f aca="false">Hypothèses!C48</f>
        <v>0.04</v>
      </c>
      <c r="E8" s="95" t="n">
        <f aca="false">Hypothèses!C48</f>
        <v>0.04</v>
      </c>
    </row>
    <row r="9" customFormat="false" ht="15" hidden="false" customHeight="true" outlineLevel="0" collapsed="false">
      <c r="B9" s="23" t="s">
        <v>400</v>
      </c>
      <c r="C9" s="90" t="n">
        <f aca="false">C7*C8</f>
        <v>31057.360503199</v>
      </c>
      <c r="D9" s="91" t="n">
        <f aca="false">D7*D8</f>
        <v>43181.3568493676</v>
      </c>
      <c r="E9" s="92" t="n">
        <f aca="false">E7*E8</f>
        <v>57298.3388962763</v>
      </c>
    </row>
    <row r="10" customFormat="false" ht="15.75" hidden="false" customHeight="true" outlineLevel="0" collapsed="false">
      <c r="B10" s="5" t="s">
        <v>401</v>
      </c>
      <c r="C10" s="5"/>
      <c r="D10" s="5"/>
      <c r="E10" s="5"/>
    </row>
    <row r="11" customFormat="false" ht="15" hidden="false" customHeight="true" outlineLevel="0" collapsed="false">
      <c r="B11" s="23" t="s">
        <v>402</v>
      </c>
      <c r="C11" s="84" t="n">
        <f aca="false">'Plan Financement'!G30</f>
        <v>1172397.33169274</v>
      </c>
      <c r="D11" s="85" t="n">
        <f aca="false">'Plan Financement'!G30</f>
        <v>1172397.33169274</v>
      </c>
      <c r="E11" s="86" t="n">
        <f aca="false">'Plan Financement'!G30</f>
        <v>1172397.33169274</v>
      </c>
    </row>
    <row r="12" customFormat="false" ht="15" hidden="false" customHeight="true" outlineLevel="0" collapsed="false">
      <c r="B12" s="23" t="s">
        <v>403</v>
      </c>
      <c r="C12" s="90" t="n">
        <f aca="false">0</f>
        <v>0</v>
      </c>
      <c r="D12" s="91" t="n">
        <f aca="false">0</f>
        <v>0</v>
      </c>
      <c r="E12" s="92" t="n">
        <f aca="false">0</f>
        <v>0</v>
      </c>
    </row>
    <row r="13" customFormat="false" ht="18" hidden="false" customHeight="true" outlineLevel="0" collapsed="false">
      <c r="B13" s="55" t="s">
        <v>404</v>
      </c>
      <c r="C13" s="56" t="n">
        <f aca="false">C11+C12</f>
        <v>1172397.33169274</v>
      </c>
      <c r="D13" s="56" t="n">
        <f aca="false">D11+D12</f>
        <v>1172397.33169274</v>
      </c>
      <c r="E13" s="56" t="n">
        <f aca="false">E11+E12</f>
        <v>1172397.33169274</v>
      </c>
    </row>
    <row r="15" customFormat="false" ht="15.75" hidden="false" customHeight="true" outlineLevel="0" collapsed="false">
      <c r="B15" s="5" t="s">
        <v>405</v>
      </c>
      <c r="C15" s="5"/>
      <c r="D15" s="5"/>
      <c r="E15" s="5"/>
    </row>
    <row r="16" customFormat="false" ht="15" hidden="false" customHeight="true" outlineLevel="0" collapsed="false">
      <c r="B16" s="23" t="s">
        <v>406</v>
      </c>
      <c r="C16" s="90" t="n">
        <f aca="false">C7-C9</f>
        <v>745376.652076777</v>
      </c>
      <c r="D16" s="91" t="n">
        <f aca="false">D7-D9</f>
        <v>1036352.56438482</v>
      </c>
      <c r="E16" s="92" t="n">
        <f aca="false">E7-E9</f>
        <v>1375160.13351063</v>
      </c>
    </row>
    <row r="17" customFormat="false" ht="15" hidden="false" customHeight="true" outlineLevel="0" collapsed="false">
      <c r="B17" s="23" t="s">
        <v>407</v>
      </c>
      <c r="C17" s="90" t="n">
        <f aca="false">-C13</f>
        <v>-1172397.33169274</v>
      </c>
      <c r="D17" s="91" t="n">
        <f aca="false">-D13</f>
        <v>-1172397.33169274</v>
      </c>
      <c r="E17" s="92" t="n">
        <f aca="false">-E13</f>
        <v>-1172397.33169274</v>
      </c>
    </row>
    <row r="18" customFormat="false" ht="18" hidden="false" customHeight="true" outlineLevel="0" collapsed="false">
      <c r="B18" s="57" t="s">
        <v>408</v>
      </c>
      <c r="C18" s="96" t="n">
        <f aca="false">C16-C13</f>
        <v>-427020.67961596</v>
      </c>
      <c r="D18" s="33" t="n">
        <f aca="false">D16-D13</f>
        <v>-136044.767307913</v>
      </c>
      <c r="E18" s="97" t="n">
        <f aca="false">E16-E13</f>
        <v>202762.801817894</v>
      </c>
    </row>
  </sheetData>
  <mergeCells count="4">
    <mergeCell ref="B1:E1"/>
    <mergeCell ref="B4:E4"/>
    <mergeCell ref="B10:E10"/>
    <mergeCell ref="B15:E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A1628"/>
    <pageSetUpPr fitToPage="false"/>
  </sheetPr>
  <dimension ref="B1:E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2"/>
    <col collapsed="false" customWidth="true" hidden="false" outlineLevel="0" max="3" min="3" style="1" width="18"/>
    <col collapsed="false" customWidth="true" hidden="false" outlineLevel="0" max="4" min="4" style="1" width="22"/>
    <col collapsed="false" customWidth="true" hidden="false" outlineLevel="0" max="5" min="5" style="1" width="26"/>
    <col collapsed="false" customWidth="true" hidden="false" outlineLevel="0" max="6" min="6" style="1" width="2"/>
  </cols>
  <sheetData>
    <row r="1" customFormat="false" ht="30" hidden="false" customHeight="true" outlineLevel="0" collapsed="false">
      <c r="B1" s="21" t="s">
        <v>409</v>
      </c>
      <c r="C1" s="21"/>
      <c r="D1" s="21"/>
      <c r="E1" s="21"/>
    </row>
    <row r="3" customFormat="false" ht="13.5" hidden="false" customHeight="true" outlineLevel="0" collapsed="false">
      <c r="B3" s="31" t="s">
        <v>410</v>
      </c>
      <c r="C3" s="31" t="s">
        <v>411</v>
      </c>
      <c r="D3" s="31" t="s">
        <v>412</v>
      </c>
      <c r="E3" s="31" t="s">
        <v>413</v>
      </c>
    </row>
    <row r="4" customFormat="false" ht="15.75" hidden="false" customHeight="true" outlineLevel="0" collapsed="false">
      <c r="B4" s="5" t="s">
        <v>414</v>
      </c>
      <c r="C4" s="5"/>
      <c r="D4" s="5"/>
      <c r="E4" s="5"/>
    </row>
    <row r="5" customFormat="false" ht="15" hidden="false" customHeight="true" outlineLevel="0" collapsed="false">
      <c r="B5" s="23" t="s">
        <v>415</v>
      </c>
      <c r="C5" s="98" t="n">
        <f aca="false">IFERROR('Exploitation P&amp;L'!C29/(IFERROR(PMT(Hypothèses!C34,Hypothèses!C35,-'Plan Financement'!C12),0)+IFERROR(PMT(Hypothèses!C40,Hypothèses!C41,-'Plan Financement'!C13),0)),"N/A")</f>
        <v>0.525289663818131</v>
      </c>
      <c r="D5" s="25" t="s">
        <v>416</v>
      </c>
      <c r="E5" s="99" t="s">
        <v>417</v>
      </c>
    </row>
    <row r="6" customFormat="false" ht="15" hidden="false" customHeight="true" outlineLevel="0" collapsed="false">
      <c r="B6" s="23" t="s">
        <v>418</v>
      </c>
      <c r="C6" s="98" t="n">
        <f aca="false">IFERROR('Exploitation P&amp;L'!D29/(IFERROR(PMT(Hypothèses!C34,Hypothèses!C35,-'Plan Financement'!C12),0)+IFERROR(PMT(Hypothèses!C40,Hypothèses!C41,-'Plan Financement'!C13),0)),"N/A")</f>
        <v>0.565292347258702</v>
      </c>
      <c r="D6" s="25" t="s">
        <v>419</v>
      </c>
      <c r="E6" s="99"/>
    </row>
    <row r="7" customFormat="false" ht="15" hidden="false" customHeight="true" outlineLevel="0" collapsed="false">
      <c r="B7" s="23" t="s">
        <v>420</v>
      </c>
      <c r="C7" s="98" t="n">
        <f aca="false">IFERROR('Exploitation P&amp;L'!E29/(IFERROR(PMT(Hypothèses!C34,Hypothèses!C35,-'Plan Financement'!C12),0)+IFERROR(PMT(Hypothèses!C40,Hypothèses!C41,-'Plan Financement'!C13),0)),"N/A")</f>
        <v>0.606957545913166</v>
      </c>
      <c r="D7" s="25" t="s">
        <v>421</v>
      </c>
      <c r="E7" s="99" t="s">
        <v>422</v>
      </c>
    </row>
    <row r="8" customFormat="false" ht="15" hidden="false" customHeight="true" outlineLevel="0" collapsed="false">
      <c r="B8" s="23" t="s">
        <v>423</v>
      </c>
      <c r="C8" s="98" t="n">
        <f aca="false">IFERROR(AVERAGE('Exploitation P&amp;L'!C29:I29)/(IFERROR(PMT(Hypothèses!C34,Hypothèses!C35,-'Plan Financement'!C12),0)+IFERROR(PMT(Hypothèses!C40,Hypothèses!C41,-'Plan Financement'!C13),0)),"N/A")</f>
        <v>0.653895532362497</v>
      </c>
      <c r="D8" s="25" t="s">
        <v>424</v>
      </c>
      <c r="E8" s="99" t="s">
        <v>425</v>
      </c>
    </row>
    <row r="9" customFormat="false" ht="15.75" hidden="false" customHeight="true" outlineLevel="0" collapsed="false">
      <c r="B9" s="5" t="s">
        <v>426</v>
      </c>
      <c r="C9" s="5"/>
      <c r="D9" s="5"/>
      <c r="E9" s="5"/>
    </row>
    <row r="10" customFormat="false" ht="15" hidden="false" customHeight="true" outlineLevel="0" collapsed="false">
      <c r="B10" s="23" t="s">
        <v>187</v>
      </c>
      <c r="C10" s="39" t="n">
        <f aca="false">Hypothèses!C33</f>
        <v>0.7325</v>
      </c>
      <c r="D10" s="25" t="s">
        <v>427</v>
      </c>
      <c r="E10" s="99" t="s">
        <v>428</v>
      </c>
    </row>
    <row r="11" customFormat="false" ht="15" hidden="false" customHeight="true" outlineLevel="0" collapsed="false">
      <c r="B11" s="23" t="s">
        <v>188</v>
      </c>
      <c r="C11" s="39" t="n">
        <f aca="false">Hypothèses!C39</f>
        <v>0.7</v>
      </c>
      <c r="D11" s="25" t="s">
        <v>429</v>
      </c>
      <c r="E11" s="99" t="s">
        <v>430</v>
      </c>
    </row>
    <row r="12" customFormat="false" ht="15" hidden="false" customHeight="true" outlineLevel="0" collapsed="false">
      <c r="B12" s="23" t="s">
        <v>189</v>
      </c>
      <c r="C12" s="39" t="n">
        <f aca="false">IFERROR('Plan Financement'!C14/'Budget Acquisition'!C17,"N/A")</f>
        <v>0.63582966226138</v>
      </c>
      <c r="D12" s="25" t="s">
        <v>431</v>
      </c>
      <c r="E12" s="99" t="s">
        <v>432</v>
      </c>
    </row>
    <row r="13" customFormat="false" ht="15" hidden="false" customHeight="true" outlineLevel="0" collapsed="false">
      <c r="B13" s="23" t="s">
        <v>190</v>
      </c>
      <c r="C13" s="39" t="n">
        <f aca="false">IFERROR('Plan Financement'!C9/'Budget Acquisition'!C17,"N/A")</f>
        <v>0.396486049926579</v>
      </c>
      <c r="D13" s="25" t="s">
        <v>433</v>
      </c>
      <c r="E13" s="99" t="s">
        <v>434</v>
      </c>
    </row>
    <row r="14" customFormat="false" ht="15.75" hidden="false" customHeight="true" outlineLevel="0" collapsed="false">
      <c r="B14" s="5" t="s">
        <v>435</v>
      </c>
      <c r="C14" s="5"/>
      <c r="D14" s="5"/>
      <c r="E14" s="5"/>
    </row>
    <row r="15" customFormat="false" ht="15" hidden="false" customHeight="true" outlineLevel="0" collapsed="false">
      <c r="B15" s="23" t="s">
        <v>436</v>
      </c>
      <c r="C15" s="39" t="n">
        <f aca="false">'Exploitation P&amp;L'!C30</f>
        <v>0.137403217554927</v>
      </c>
      <c r="D15" s="25" t="s">
        <v>437</v>
      </c>
      <c r="E15" s="99" t="s">
        <v>438</v>
      </c>
    </row>
    <row r="16" customFormat="false" ht="15" hidden="false" customHeight="true" outlineLevel="0" collapsed="false">
      <c r="B16" s="23" t="s">
        <v>439</v>
      </c>
      <c r="C16" s="39" t="n">
        <f aca="false">'Exploitation P&amp;L'!E30</f>
        <v>0.149886815865911</v>
      </c>
      <c r="D16" s="25" t="s">
        <v>440</v>
      </c>
      <c r="E16" s="99" t="s">
        <v>441</v>
      </c>
    </row>
    <row r="17" customFormat="false" ht="15" hidden="false" customHeight="true" outlineLevel="0" collapsed="false">
      <c r="B17" s="23" t="s">
        <v>442</v>
      </c>
      <c r="C17" s="39" t="n">
        <f aca="false">'Exploitation P&amp;L'!I30</f>
        <v>0.174156111682163</v>
      </c>
      <c r="D17" s="25" t="s">
        <v>443</v>
      </c>
      <c r="E17" s="99" t="s">
        <v>444</v>
      </c>
    </row>
    <row r="18" customFormat="false" ht="15.75" hidden="false" customHeight="true" outlineLevel="0" collapsed="false">
      <c r="B18" s="5" t="s">
        <v>445</v>
      </c>
      <c r="C18" s="5"/>
      <c r="D18" s="5"/>
      <c r="E18" s="5"/>
    </row>
    <row r="19" customFormat="false" ht="15" hidden="false" customHeight="true" outlineLevel="0" collapsed="false">
      <c r="B19" s="23" t="s">
        <v>446</v>
      </c>
      <c r="C19" s="34" t="n">
        <f aca="false">IFERROR(('Exploitation P&amp;L'!C17+'Exploitation P&amp;L'!C24+'Exploitation P&amp;L'!C25+'Exploitation P&amp;L'!C23)/(1-Hypothèses!C22-Hypothèses!C29-Hypothèses!C23),"N/A")</f>
        <v>620663.650075415</v>
      </c>
      <c r="D19" s="25" t="s">
        <v>447</v>
      </c>
      <c r="E19" s="99" t="s">
        <v>448</v>
      </c>
    </row>
    <row r="20" customFormat="false" ht="15" hidden="false" customHeight="true" outlineLevel="0" collapsed="false">
      <c r="B20" s="23" t="s">
        <v>449</v>
      </c>
      <c r="C20" s="39" t="n">
        <f aca="false">IFERROR(C19/('Exploitation P&amp;L'!C7*Hypothèses!C5*365*(1+Hypothèses!C17)),"N/A")</f>
        <v>0.498197690252842</v>
      </c>
      <c r="D20" s="25" t="s">
        <v>450</v>
      </c>
      <c r="E20" s="99" t="s">
        <v>451</v>
      </c>
    </row>
    <row r="21" customFormat="false" ht="15.75" hidden="false" customHeight="true" outlineLevel="0" collapsed="false">
      <c r="B21" s="5" t="s">
        <v>452</v>
      </c>
      <c r="C21" s="5"/>
      <c r="D21" s="5"/>
      <c r="E21" s="5"/>
    </row>
    <row r="22" customFormat="false" ht="15" hidden="false" customHeight="true" outlineLevel="0" collapsed="false">
      <c r="B22" s="23" t="s">
        <v>453</v>
      </c>
      <c r="C22" s="39" t="str">
        <f aca="false">'Cash-flow Invest.'!C15</f>
        <v>Calc</v>
      </c>
      <c r="D22" s="25" t="s">
        <v>454</v>
      </c>
      <c r="E22" s="99" t="s">
        <v>455</v>
      </c>
    </row>
    <row r="23" customFormat="false" ht="15" hidden="false" customHeight="true" outlineLevel="0" collapsed="false">
      <c r="B23" s="23" t="s">
        <v>381</v>
      </c>
      <c r="C23" s="98" t="n">
        <f aca="false">'Cash-flow Invest.'!C18</f>
        <v>-0.248578490709594</v>
      </c>
      <c r="D23" s="25" t="s">
        <v>456</v>
      </c>
      <c r="E23" s="99" t="s">
        <v>457</v>
      </c>
    </row>
    <row r="24" customFormat="false" ht="15" hidden="false" customHeight="true" outlineLevel="0" collapsed="false">
      <c r="B24" s="23" t="s">
        <v>458</v>
      </c>
      <c r="C24" s="34" t="n">
        <f aca="false">'Sortie Valorisation'!D18</f>
        <v>-136044.767307913</v>
      </c>
      <c r="D24" s="25"/>
      <c r="E24" s="99" t="s">
        <v>22</v>
      </c>
    </row>
  </sheetData>
  <mergeCells count="6">
    <mergeCell ref="B1:E1"/>
    <mergeCell ref="B4:E4"/>
    <mergeCell ref="B9:E9"/>
    <mergeCell ref="B14:E14"/>
    <mergeCell ref="B18:E18"/>
    <mergeCell ref="B21:E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2026-02-19T22:08:06Z</dcterms:created>
  <dc:creator>openpyxl</dc:creator>
  <dc:description/>
  <dc:language>en-US</dc:language>
  <cp:lastModifiedBy/>
  <dcterms:modified xsi:type="dcterms:W3CDTF">2026-02-19T22:08:25Z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