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Hypothèses" sheetId="2" state="visible" r:id="rId4"/>
    <sheet name="Exploitation" sheetId="3" state="visible" r:id="rId5"/>
    <sheet name="Financement" sheetId="4" state="visible" r:id="rId6"/>
    <sheet name="Indicateurs" sheetId="5" state="visible" r:id="rId7"/>
    <sheet name="Conseils" sheetId="6" state="visible" r:id="rId8"/>
    <sheet name="Source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<sst xmlns="http://schemas.openxmlformats.org/spreadsheetml/2006/main" count="1010" uniqueCount="751">
  <si>
    <t xml:space="preserve">West Coast Hospitality</t>
  </si>
  <si>
    <t xml:space="preserve">Scénario type · Chambres d'hôtes haut de gamme, 5 chambres</t>
  </si>
  <si>
    <t xml:space="preserve">Maison achetée par l'hôte qui y réside, ouverte de mars à novembre, petit-déjeuner compris, table d'hôtes</t>
  </si>
  <si>
    <t xml:space="preserve">Avertissement : Hypothèses illustratives, pas un conseil en investissement. Données publiques arrêtées au 12 octobre 2026. Ce fichier ne décrit aucun établissement réel ; il illustre un raisonnement à partir de ratios publics.</t>
  </si>
  <si>
    <t xml:space="preserve">Objet</t>
  </si>
  <si>
    <t xml:space="preserve">Donner un ordre de grandeur réaliste d'une maison de 5 chambres d'hôtes haut de gamme, achetée par un hôte qui y réside, avec petit-déjeuner et table d'hôtes.</t>
  </si>
  <si>
    <t xml:space="preserve">Pour qui</t>
  </si>
  <si>
    <t xml:space="preserve">Porteurs de projet, exploitants, cédants, banquiers et conseils qui veulent un point de départ chiffré, sourcé et modifiable pour un projet sur la côte ouest, de la Manche au Pays basque.</t>
  </si>
  <si>
    <t xml:space="preserve">Mode d'emploi</t>
  </si>
  <si>
    <t xml:space="preserve">1. Ouvrez l'onglet Hypothèses et remplacez les valeurs des cellules bleues sur fond or pâle par celles de votre projet (devis, historique du cédant, offres bancaires).
2. Ajustez le profil mensuel si votre établissement ferme certains mois (colonne « Ouvert »).
3. Lisez le résultat dans les onglets Exploitation (compte sur 10 ans), Financement (besoins, prêts) et Indicateurs (couverture de la dette, point mort, trésorerie).
4. Passez en revue l'onglet Conseils avant tout engagement.</t>
  </si>
  <si>
    <t xml:space="preserve">Légende</t>
  </si>
  <si>
    <t xml:space="preserve">Bleu sur fond or pâle : hypothèse à saisir. Noir : calcul. Vert : lien vers une autre feuille. Dans l'onglet Hypothèses, la colonne « Nature » indique si la valeur est sourcée (référence [S..] vers l'onglet Sources), calculée, ou une hypothèse illustrative à remplacer.</t>
  </si>
  <si>
    <t xml:space="preserve">Structure</t>
  </si>
  <si>
    <t xml:space="preserve">Une personne exploite en micro-entreprise dans la maison qu'elle achète et habite. Un prêt immobilier finance la maison, les frais et les parties communes ; un prêt d'équipement finance l'aménagement des chambres. Seule la part du bien affectée à l'activité est imputée dans les ratios ; l'EBE rémunère le travail de l'hôte.</t>
  </si>
  <si>
    <t xml:space="preserve">Onglets</t>
  </si>
  <si>
    <t xml:space="preserve">Hypothèses : toutes les entrées, avec source et date, et le profil saisonnier mois par mois.
Exploitation : compte d'exploitation sur 10 ans.
Financement : valeur, besoins avec les frais d'acquisition (notaire, droits sur le fonds par tranches, honoraires d'agence, audits), récapitulatif du coût total, apport, deux prêts (fonction PMT) et tableau d'amortissement.
Indicateurs : couverture de la dette année par année, point mort, trésorerie, délai de retour.
Conseils : listes de contrôle, garanties, aides régionales.
Sources : organismes, documents, dates et adresses.</t>
  </si>
  <si>
    <t xml:space="preserve">Limites</t>
  </si>
  <si>
    <t xml:space="preserve">Les ratios publics d'exploitation de l'hôtellerie indépendante sont rares : plusieurs postes sont des hypothèses illustratives. Les panels d'observatoires portent surtout sur des hôtels de chaîne. L'impôt est simplifié. Aucun seuil bancaire public n'existe pour la couverture de la dette.</t>
  </si>
  <si>
    <t xml:space="preserve">Version</t>
  </si>
  <si>
    <t xml:space="preserve">Octobre 2026. Données publiques arrêtées au 12 octobre 2026. Taux de crédit de référence : Banque de France, août 2026. Mise à jour du 12 octobre 2026 : frais de notaire de 7,8 % par défaut, honoraires d'agence (murs et fonds séparés), audits avant l'achat et récapitulatif du coût total.</t>
  </si>
  <si>
    <t xml:space="preserve">Pour aller plus loin</t>
  </si>
  <si>
    <t xml:space="preserve">westcoasthospitality.fr : étude de marché de la côte ouest, dossier sur le financement d'une reprise hôtelière, simulateurs en ligne et page des scénarios types.</t>
  </si>
  <si>
    <t xml:space="preserve">Hypothèses · Chambres d'hôtes haut de gamme, 5 chambres</t>
  </si>
  <si>
    <t xml:space="preserve">Hypothèses illustratives, pas un conseil en investissement. Données publiques arrêtées au 12 octobre 2026.</t>
  </si>
  <si>
    <t xml:space="preserve">Cellule à modifier (texte bleu sur fond or pâle). Les cellules en noir sont des calculs, en vert des liens vers une autre feuille. Nature : « Sourcé » = valeur publiée (source et date à droite, détail dans l'onglet Sources) ; « Calcul » = dérivé d'autres cellules ; « Hypothèse illustrative » = valeur plausible non sourcée, à remplacer par vos devis et votre historique.</t>
  </si>
  <si>
    <t xml:space="preserve">1. L'établissement et son activité de croisière</t>
  </si>
  <si>
    <t xml:space="preserve">Hypothèse</t>
  </si>
  <si>
    <t xml:space="preserve">Valeur</t>
  </si>
  <si>
    <t xml:space="preserve">Unité</t>
  </si>
  <si>
    <t xml:space="preserve">Nature</t>
  </si>
  <si>
    <t xml:space="preserve">Source et date</t>
  </si>
  <si>
    <t xml:space="preserve">Nombre de chambres</t>
  </si>
  <si>
    <t xml:space="preserve">chambres</t>
  </si>
  <si>
    <t xml:space="preserve">Hypothèse illustrative</t>
  </si>
  <si>
    <t xml:space="preserve">Plafond légal : 5 chambres et 15 personnes [S33] [S34].</t>
  </si>
  <si>
    <t xml:space="preserve">Personnes par chambre occupée</t>
  </si>
  <si>
    <t xml:space="preserve">personnes</t>
  </si>
  <si>
    <t xml:space="preserve">À relever dans votre historique ou celui du cédant.</t>
  </si>
  <si>
    <t xml:space="preserve">Taux d'occupation de référence (avant profil saisonnier et fermetures)</t>
  </si>
  <si>
    <t xml:space="preserve">%</t>
  </si>
  <si>
    <t xml:space="preserve">Aucun observatoire public de l'occupation des chambres d'hôtes n'a été trouvé. Repère éloigné : gîtes labellisés de Normandie en octobre 2025, 37 à 44 % (Normandie Tourisme).</t>
  </si>
  <si>
    <t xml:space="preserve">Prix moyen par chambre et par nuit, petit-déjeuner pour deux compris, HT</t>
  </si>
  <si>
    <t xml:space="preserve">€ HT</t>
  </si>
  <si>
    <t xml:space="preserve">Prix des chambres d'hôtes introuvable en source publique. À fixer d'après les maisons comparables de votre secteur.</t>
  </si>
  <si>
    <t xml:space="preserve">Amplitude saisonnière appliquée au profil normand</t>
  </si>
  <si>
    <t xml:space="preserve">coefficient</t>
  </si>
  <si>
    <t xml:space="preserve">Calcul</t>
  </si>
  <si>
    <t xml:space="preserve">Calé pour retrouver le rapport août / année du littoral : Morbihan 83,1 % / 58,2 % = 1,43 ; Calvados 82,9 % / 60,7 % = 1,37 (UMIH-GNC et MKG, août et décembre 2025) [S1] [S2]. Avec 1,2, août ressort à 1,40 fois la moyenne.</t>
  </si>
  <si>
    <t xml:space="preserve">Plafond d'occupation d'un mois</t>
  </si>
  <si>
    <t xml:space="preserve">Un hôtel ne vend jamais toutes ses chambres tous les jours (départs, travaux, chambres hors service).</t>
  </si>
  <si>
    <t xml:space="preserve">2. Profil saisonnier de la côte ouest (mois par mois, année de croisière, prix de l'année 1)</t>
  </si>
  <si>
    <t xml:space="preserve">Taux d'occupation mensuels 2025 des hôtels de Normandie (Insee et Normandie Tourisme, bilan d'avril 2026, lecture des données du graphique) [S4], convertis en indices puis amplifiés pour le littoral. Les coefficients de prix sont une hypothèse illustrative calée sur août = 1,24 fois la moyenne annuelle (Calvados et Morbihan, août 2025 [S2]) et janvier = 0,91 (Ille-et-Vilaine, janvier 2025 [S3]). Le prix moyen du mois est recalé pour que le prix moyen annuel égale l'hypothèse ci-dessus. Mettez 0 dans « Ouvert » pour un mois de fermeture.</t>
  </si>
  <si>
    <t xml:space="preserve">Mois</t>
  </si>
  <si>
    <t xml:space="preserve">Jours</t>
  </si>
  <si>
    <t xml:space="preserve">Ouvert (1 ou 0)</t>
  </si>
  <si>
    <t xml:space="preserve">TO Normandie 2025</t>
  </si>
  <si>
    <t xml:space="preserve">Indice brut</t>
  </si>
  <si>
    <t xml:space="preserve">Indice littoral</t>
  </si>
  <si>
    <t xml:space="preserve">Coefficient de prix</t>
  </si>
  <si>
    <t xml:space="preserve">TO du mois</t>
  </si>
  <si>
    <t xml:space="preserve">Nuitées vendues</t>
  </si>
  <si>
    <t xml:space="preserve">Prix moyen HT</t>
  </si>
  <si>
    <t xml:space="preserve">CA hébergement HT</t>
  </si>
  <si>
    <t xml:space="preserve">Janvier</t>
  </si>
  <si>
    <t xml:space="preserve">Février</t>
  </si>
  <si>
    <t xml:space="preserve">Mars</t>
  </si>
  <si>
    <t xml:space="preserve">Avril</t>
  </si>
  <si>
    <t xml:space="preserve">Mai</t>
  </si>
  <si>
    <t xml:space="preserve">Juin</t>
  </si>
  <si>
    <t xml:space="preserve">Juillet</t>
  </si>
  <si>
    <t xml:space="preserve">Août</t>
  </si>
  <si>
    <t xml:space="preserve">Septembre</t>
  </si>
  <si>
    <t xml:space="preserve">Octobre</t>
  </si>
  <si>
    <t xml:space="preserve">Novembre</t>
  </si>
  <si>
    <t xml:space="preserve">Décembre</t>
  </si>
  <si>
    <t xml:space="preserve">Année</t>
  </si>
  <si>
    <t xml:space="preserve">Lecture : la ligne « Année » donne le TO moyen sur 365 jours, les nuitées vendues, le prix moyen et le CA hébergement de l'année de croisière (prix de l'année 1).</t>
  </si>
  <si>
    <t xml:space="preserve">Normalisation des coefficients de prix (calcul)</t>
  </si>
  <si>
    <t xml:space="preserve">3. Recettes et chiffre d'affaires de référence (année de croisière, prix de l'année 1)</t>
  </si>
  <si>
    <t xml:space="preserve">Jours d'ouverture dans l'année</t>
  </si>
  <si>
    <t xml:space="preserve">jours</t>
  </si>
  <si>
    <t xml:space="preserve">Somme des jours des mois ouverts.</t>
  </si>
  <si>
    <t xml:space="preserve">Nuitées chambres vendues</t>
  </si>
  <si>
    <t xml:space="preserve">nuitées</t>
  </si>
  <si>
    <t xml:space="preserve">Total du profil mensuel.</t>
  </si>
  <si>
    <t xml:space="preserve">Taux d'occupation sur l'année (365 jours)</t>
  </si>
  <si>
    <t xml:space="preserve">Nuitées vendues / (chambres × 365).</t>
  </si>
  <si>
    <t xml:space="preserve">Taux d'occupation sur les mois d'ouverture</t>
  </si>
  <si>
    <t xml:space="preserve">Nuitées vendues / (chambres × jours d'ouverture).</t>
  </si>
  <si>
    <t xml:space="preserve">Prix moyen réalisé HT</t>
  </si>
  <si>
    <t xml:space="preserve">Égal au prix moyen visé grâce à la normalisation.</t>
  </si>
  <si>
    <t xml:space="preserve">RevPAR HT (CA hébergement / chambres disponibles sur 365 jours)</t>
  </si>
  <si>
    <t xml:space="preserve">Calcul.</t>
  </si>
  <si>
    <t xml:space="preserve">CA hébergement de référence</t>
  </si>
  <si>
    <t xml:space="preserve">Part des nuitées avec dîner à la table d'hôtes</t>
  </si>
  <si>
    <t xml:space="preserve">Table d'hôtes : repas unique, pris avec l'hôte ; licence si alcool servi [S33].</t>
  </si>
  <si>
    <t xml:space="preserve">Prix du dîner à la table d'hôtes par personne</t>
  </si>
  <si>
    <t xml:space="preserve">TVA de 10 % sur la table d'hôtes, sauf franchise [S33].</t>
  </si>
  <si>
    <t xml:space="preserve">CA table d'hôtes de référence</t>
  </si>
  <si>
    <t xml:space="preserve">Nuitées × part × personnes × prix.</t>
  </si>
  <si>
    <t xml:space="preserve">Autres recettes (parking, ventes diverses), en % du CA hébergement</t>
  </si>
  <si>
    <t xml:space="preserve">À ajuster selon l'établissement.</t>
  </si>
  <si>
    <t xml:space="preserve">Autres recettes de référence</t>
  </si>
  <si>
    <t xml:space="preserve">Chiffre d'affaires de référence</t>
  </si>
  <si>
    <t xml:space="preserve">Base de calcul du loyer, du prix du fonds et des charges de structure. Taxe de séjour exclue : elle est collectée pour la commune [S39].</t>
  </si>
  <si>
    <t xml:space="preserve">4. Montée en charge et indexation</t>
  </si>
  <si>
    <t xml:space="preserve">Activité de l'année 1, en % de l'activité de croisière</t>
  </si>
  <si>
    <t xml:space="preserve">Transition après la reprise ou l'ouverture.</t>
  </si>
  <si>
    <t xml:space="preserve">Activité de l'année 2</t>
  </si>
  <si>
    <t xml:space="preserve">Idem.</t>
  </si>
  <si>
    <t xml:space="preserve">Activité à partir de l'année 3</t>
  </si>
  <si>
    <t xml:space="preserve">Année de croisière.</t>
  </si>
  <si>
    <t xml:space="preserve">Hausse annuelle des prix de vente</t>
  </si>
  <si>
    <t xml:space="preserve">%/an</t>
  </si>
  <si>
    <t xml:space="preserve">Proche de la projection d'inflation de la BCE pour 2028 (2,1 %) ; 3,0 % projetés pour 2026 et 2,5 % pour 2027 [S50].</t>
  </si>
  <si>
    <t xml:space="preserve">Hausse annuelle des charges (hors salaires) et du loyer</t>
  </si>
  <si>
    <t xml:space="preserve">Idem [S50].</t>
  </si>
  <si>
    <t xml:space="preserve">Hausse annuelle des salaires</t>
  </si>
  <si>
    <t xml:space="preserve">Le SMIC a augmenté de 1,18 % au 1er janvier 2026 puis de 2,41 % au 1er juin 2026 (12,31 € brut de l'heure) [S15] [S16].</t>
  </si>
  <si>
    <t xml:space="preserve">5. Charges variables (proportionnelles aux recettes)</t>
  </si>
  <si>
    <t xml:space="preserve">Coût des marchandises vendues (nourriture et boissons), en % des recettes de restauration</t>
  </si>
  <si>
    <t xml:space="preserve">Taux de marge commerciale médian de la restauration : 69,0 % en 2023, soit environ 31 % de coût des marchandises (Banque de France, NAF 56, 12 370 entreprises) [S7].</t>
  </si>
  <si>
    <t xml:space="preserve">Coût des denrées du petit-déjeuner (compris dans le prix de la chambre), par personne</t>
  </si>
  <si>
    <t xml:space="preserve">€</t>
  </si>
  <si>
    <t xml:space="preserve">Le petit-déjeuner fait partie de la prestation de chambres d'hôtes [S34].</t>
  </si>
  <si>
    <t xml:space="preserve">Part du CA hébergement vendue par les agences en ligne</t>
  </si>
  <si>
    <t xml:space="preserve">Sourcé</t>
  </si>
  <si>
    <t xml:space="preserve">29,9 % des nuitées en 2025 (Europe, enquête HOTREC, 1 882 indépendants et 831 hôtels de chaîne, publiée le 15/09/2026) [S11]. Pour un indépendant, souvent davantage.</t>
  </si>
  <si>
    <t xml:space="preserve">Commission moyenne des agences en ligne</t>
  </si>
  <si>
    <t xml:space="preserve">17 % selon un collectif de 300 hôtels indépendants (août 2021) [S12]. Ordre de grandeur sénatorial : 4 à 5 % du CA de l'hôtellerie (2018) [S13]. Booking.com ne publie pas de taux.</t>
  </si>
  <si>
    <t xml:space="preserve">Frais bancaires et commissions de cartes, en % du CA</t>
  </si>
  <si>
    <t xml:space="preserve">À relever sur les contrats du terminal de paiement.</t>
  </si>
  <si>
    <t xml:space="preserve">Blanchisserie et linge, en % du CA hébergement</t>
  </si>
  <si>
    <t xml:space="preserve">Location-entretien ou blanchisserie intégrée.</t>
  </si>
  <si>
    <t xml:space="preserve">Produits d'accueil et consommables des chambres, en % du CA hébergement</t>
  </si>
  <si>
    <t xml:space="preserve">6. Charges de structure (calées sur le CA de référence, puis indexées)</t>
  </si>
  <si>
    <t xml:space="preserve">Heures d'aide au ménage et au service par an</t>
  </si>
  <si>
    <t xml:space="preserve">heures</t>
  </si>
  <si>
    <t xml:space="preserve">L'exploitant n'est pas rémunéré dans ce modèle : l'EBE rémunère son travail.</t>
  </si>
  <si>
    <t xml:space="preserve">Coût horaire chargé de l'aide</t>
  </si>
  <si>
    <t xml:space="preserve">€/h</t>
  </si>
  <si>
    <t xml:space="preserve">SMIC à 12,31 € brut de l'heure depuis le 01/06/2026 [S16], charges patronales en sus (hypothèse).</t>
  </si>
  <si>
    <t xml:space="preserve">Électricité, en % du CA</t>
  </si>
  <si>
    <t xml:space="preserve">Achats d'électricité : 3,8 % du CA en moyenne (enquête GHR et UMIH, communiqué du 12/02/2024) [S10].</t>
  </si>
  <si>
    <t xml:space="preserve">Autres énergies et eau, en % du CA</t>
  </si>
  <si>
    <t xml:space="preserve">Gaz, fioul, eau : selon le bâtiment et la cuisine.</t>
  </si>
  <si>
    <t xml:space="preserve">Entretien et maintenance courante, en % du CA</t>
  </si>
  <si>
    <t xml:space="preserve">Contrats de maintenance, petites réparations.</t>
  </si>
  <si>
    <t xml:space="preserve">Marketing, site, logiciels (gestion hôtelière, gestionnaire de canaux), en % du CA</t>
  </si>
  <si>
    <t xml:space="preserve">Assurances (responsabilité civile, multirisque)</t>
  </si>
  <si>
    <t xml:space="preserve">€/an</t>
  </si>
  <si>
    <t xml:space="preserve">Devis à obtenir.</t>
  </si>
  <si>
    <t xml:space="preserve">Comptabilité et frais administratifs</t>
  </si>
  <si>
    <t xml:space="preserve">Impôts et taxes (part de la taxe foncière, cotisation foncière des entreprises)</t>
  </si>
  <si>
    <t xml:space="preserve">Pas de changement d'usage requis pour la taxe foncière [S33].</t>
  </si>
  <si>
    <t xml:space="preserve">Autres charges externes (télécoms, abonnements, droits musicaux, divers), en % du CA</t>
  </si>
  <si>
    <t xml:space="preserve">Réserve de renouvellement du mobilier et des équipements, en % du CA</t>
  </si>
  <si>
    <t xml:space="preserve">4 % du CA : niveau usuel des contrats de gestion et de prêt ; dépenses réellement constatées : 7,6 % du CA en 2013-2017 (ISHC et HAMA, États-Unis, via CoStar, 13/02/2019) [S14].</t>
  </si>
  <si>
    <t xml:space="preserve">7. Acquisition et travaux</t>
  </si>
  <si>
    <t xml:space="preserve">Prix d'achat de la maison</t>
  </si>
  <si>
    <t xml:space="preserve">Prix médians des notaires non relevés pour ce modèle : saisissez le prix du bien visé.</t>
  </si>
  <si>
    <t xml:space="preserve">Part du bien affectée à l'activité (chambres et parties communes)</t>
  </si>
  <si>
    <t xml:space="preserve">La maison est aussi la résidence de l'hôte : seule cette part des annuités immobilières est imputée à l'activité dans les ratios.</t>
  </si>
  <si>
    <t xml:space="preserve">Aménagement par chambre (salle d'eau, literie, mobilier)</t>
  </si>
  <si>
    <t xml:space="preserve">€/chambre</t>
  </si>
  <si>
    <t xml:space="preserve">Keobiz : 15 000 à 35 000 € par chambre en 4 étoiles, 5 000 à 15 000 € en 2 et 3 étoiles, hors gros œuvre (25/07/2026) [S24]. Une chambre d'hôtes fait au moins 9 m² [S33].</t>
  </si>
  <si>
    <t xml:space="preserve">Travaux de parties communes et de mise aux normes (immobilier)</t>
  </si>
  <si>
    <t xml:space="preserve">8. Frais d'acquisition et de montage</t>
  </si>
  <si>
    <t xml:space="preserve">Frais de notaire sur la maison, en % du prix (droits de mutation, émoluments, débours)</t>
  </si>
  <si>
    <t xml:space="preserve">Ordre de grandeur dans l'ancien : 7 à 8 % du prix (UFC-Que Choisir, 18/06/2025) [S55]. Depuis le 01/04/2025, les départements peuvent porter leur taux à 5 % jusqu'au 31/03/2028, soit 6,3185 % de droits au total [S22] ; 88 départements l'appliquent au 01/06/2026 [S23]. Les primo-accédants qui achètent leur résidence principale échappent à cette hausse [S55]. Valeur retenue : 7,8 %, à remplacer par le décompte de votre notaire. Le détail du barème ci-dessous sert de contrôle.</t>
  </si>
  <si>
    <t xml:space="preserve">   Contrôle : droits de mutation (taux départemental de 5 %)</t>
  </si>
  <si>
    <t xml:space="preserve">6,3185 % au taux départemental de 5 % (5,80665 % à 4,50 %) [S22] [S23]. Vérifiez le taux du département visé.</t>
  </si>
  <si>
    <t xml:space="preserve">   Contrôle : contribution de sécurité immobilière</t>
  </si>
  <si>
    <t xml:space="preserve">0,10 % du prix (minimum 15 €) [S22].</t>
  </si>
  <si>
    <t xml:space="preserve">   Contrôle : émoluments du notaire, tranche au-delà de 60 000 € (HT)</t>
  </si>
  <si>
    <t xml:space="preserve">Barème : 3,870 % jusqu'à 6 500 €, 1,596 % jusqu'à 17 000 €, 1,064 % jusqu'à 60 000 €, 0,799 % au-delà (vérifié le 05/08/2026) [S22] [S60]. Calcul simplifié sur le seul dernier taux.</t>
  </si>
  <si>
    <t xml:space="preserve">   Contrôle : TVA sur les émoluments</t>
  </si>
  <si>
    <t xml:space="preserve">TVA au taux normal sur la rémunération du notaire [S22].</t>
  </si>
  <si>
    <t xml:space="preserve">   Contrôle : émoluments de formalités (forfait HT)</t>
  </si>
  <si>
    <t xml:space="preserve">Vente publiée : 339,58 € HT [S22].</t>
  </si>
  <si>
    <t xml:space="preserve">   Contrôle : frais calculés au barème pour le prix du scénario, hors débours</t>
  </si>
  <si>
    <t xml:space="preserve">Droits + contribution + émoluments TTC + formalités TTC, rapportés au prix. Pour un prix élevé, le barème donne un peu moins que 7,8 % : la valeur retenue reste prudente et couvre les débours.</t>
  </si>
  <si>
    <t xml:space="preserve">Honoraires d'agence sur la maison, en % du prix</t>
  </si>
  <si>
    <t xml:space="preserve">Chaque agence fixe son barème et l'affiche comme un maximum, négociable (DGCCRF, 04/08/2023) [S58]. Repère dans le logement : 3 à 10 % du prix, 4 à 5 % au-delà de 500 000 € (PAP, 13/01/2025) [S57] ; aucune moyenne publique pour une maison d'hôtes. Mettez 0 si la commission est à la charge du vendeur.</t>
  </si>
  <si>
    <t xml:space="preserve">Audits avant l'achat (expertise du bâti, diagnostics complémentaires), optionnel</t>
  </si>
  <si>
    <t xml:space="preserve">Aucun barème public : faites chiffrer la visite d'un expert. Mettez 0 pour les exclure.</t>
  </si>
  <si>
    <t xml:space="preserve">Frais de dossier, de garantie et de prise de sûretés, en % des prêts</t>
  </si>
  <si>
    <t xml:space="preserve">La garantie France Active coûte 2,5 % du montant garanti [S41] ; les commissions Bpifrance et SIAGI ne sont pas publiées [S40] [S42].</t>
  </si>
  <si>
    <t xml:space="preserve">Trésorerie de démarrage (stock, dépôts, premiers mois)</t>
  </si>
  <si>
    <t xml:space="preserve">Le besoin en fonds de roulement de l'hébergement est structurellement négatif (médiane de −33,9 jours de CA en 2023, Banque de France) [S6] ; prévoyez malgré tout de quoi passer la première basse saison.</t>
  </si>
  <si>
    <t xml:space="preserve">9. Financement</t>
  </si>
  <si>
    <t xml:space="preserve">Apport sur le prêt immobilier (maison, frais, parties communes)</t>
  </si>
  <si>
    <t xml:space="preserve">Murs professionnels : 10 % au minimum (MetLife) ou 20 à 30 % (Keobiz) [S27] [S28]. Pour une résidence, la banque appliquera aussi ses règles du crédit à l'habitat.</t>
  </si>
  <si>
    <t xml:space="preserve">Apport sur le prêt d'équipement (aménagement des chambres)</t>
  </si>
  <si>
    <t xml:space="preserve">Investissement non immobilier : 30 % usuels (MetLife, CAFPI) [S28] [S29].</t>
  </si>
  <si>
    <t xml:space="preserve">Taux de référence du prêt immobilier</t>
  </si>
  <si>
    <t xml:space="preserve">Taux moyen des nouveaux crédits à l'habitat hors renégociations : 3,32 % en août 2026 (Banque de France, 06/10/2026) [S26].</t>
  </si>
  <si>
    <t xml:space="preserve">Majoration retenue sur le prêt immobilier (usage mixte, taux fixe 20 ans)</t>
  </si>
  <si>
    <t xml:space="preserve">point</t>
  </si>
  <si>
    <t xml:space="preserve">Aucune statistique ne donne ce taux : il se constate dans les offres des banques.</t>
  </si>
  <si>
    <t xml:space="preserve">Taux de référence du prêt d'équipement</t>
  </si>
  <si>
    <t xml:space="preserve">Nouveaux crédits aux PME : 3,71 % en août 2026 (Banque de France, Stat Info du 08/10/2026) [S25].</t>
  </si>
  <si>
    <t xml:space="preserve">Majoration retenue sur le prêt d'équipement</t>
  </si>
  <si>
    <t xml:space="preserve">Durée du prêt immobilier</t>
  </si>
  <si>
    <t xml:space="preserve">ans</t>
  </si>
  <si>
    <t xml:space="preserve">Jusqu'à 20 ans (MetLife) ; 15 à 20 ans (Keobiz) [S27] [S28].</t>
  </si>
  <si>
    <t xml:space="preserve">Durée du prêt d'équipement</t>
  </si>
  <si>
    <t xml:space="preserve">7 ans au plus (MetLife) ; 7 à 10 ans (CAFPI) [S28] [S29].</t>
  </si>
  <si>
    <t xml:space="preserve">10. Fiscalité et seuils de lecture</t>
  </si>
  <si>
    <t xml:space="preserve">Cotisations sociales en micro-entreprise, en % du CA</t>
  </si>
  <si>
    <t xml:space="preserve">Hébergement (BIC) : 12,80 % du CA (Urssaf, consulté le 11/10/2026) [S35]. Micro-entreprise jusqu'à 188 700 € HT de CA, abattement de 71 % ; affiliation obligatoire au-delà de 6 028 € de revenu imposable [S33]. Impôt sur le revenu non calculé.</t>
  </si>
  <si>
    <t xml:space="preserve">Seuil de lecture du ratio de couverture de la dette (EBE / annuités)</t>
  </si>
  <si>
    <t xml:space="preserve">x</t>
  </si>
  <si>
    <t xml:space="preserve">Aucun seuil bancaire propre à l'hôtellerie indépendante n'est publié. Sous 1, l'activité ne paie pas la dette ; le seuil de 1,2 sert seulement de repère de lecture.</t>
  </si>
  <si>
    <t xml:space="preserve">Compte d'exploitation sur 10 ans · Chambres d'hôtes haut de gamme, 5 chambres</t>
  </si>
  <si>
    <t xml:space="preserve">En euros hors taxes. Recettes et charges variables suivent l'activité ; charges de structure calées sur le CA de référence puis indexées.</t>
  </si>
  <si>
    <t xml:space="preserve">En euros HT</t>
  </si>
  <si>
    <t xml:space="preserve">Base</t>
  </si>
  <si>
    <t xml:space="preserve">Année 1</t>
  </si>
  <si>
    <t xml:space="preserve">Année 2</t>
  </si>
  <si>
    <t xml:space="preserve">Année 3</t>
  </si>
  <si>
    <t xml:space="preserve">Année 4</t>
  </si>
  <si>
    <t xml:space="preserve">Année 5</t>
  </si>
  <si>
    <t xml:space="preserve">Année 6</t>
  </si>
  <si>
    <t xml:space="preserve">Année 7</t>
  </si>
  <si>
    <t xml:space="preserve">Année 8</t>
  </si>
  <si>
    <t xml:space="preserve">Année 9</t>
  </si>
  <si>
    <t xml:space="preserve">Année 10</t>
  </si>
  <si>
    <t xml:space="preserve">Rang de l'année</t>
  </si>
  <si>
    <t xml:space="preserve">Activité</t>
  </si>
  <si>
    <t xml:space="preserve">Activité en % de la croisière</t>
  </si>
  <si>
    <t xml:space="preserve">Indice des prix de vente</t>
  </si>
  <si>
    <t xml:space="preserve">Base 1 en année 1</t>
  </si>
  <si>
    <t xml:space="preserve">Indice des charges et du loyer</t>
  </si>
  <si>
    <t xml:space="preserve">Indice des salaires</t>
  </si>
  <si>
    <t xml:space="preserve">Taux d'occupation (sur 365 jours)</t>
  </si>
  <si>
    <t xml:space="preserve">RevPAR HT</t>
  </si>
  <si>
    <t xml:space="preserve">Chiffre d'affaires HT</t>
  </si>
  <si>
    <t xml:space="preserve">Hébergement</t>
  </si>
  <si>
    <t xml:space="preserve">Table d'hôtes</t>
  </si>
  <si>
    <t xml:space="preserve">Autres recettes</t>
  </si>
  <si>
    <t xml:space="preserve">Chiffre d'affaires total</t>
  </si>
  <si>
    <t xml:space="preserve">Charges variables</t>
  </si>
  <si>
    <t xml:space="preserve">Denrées (petit-déjeuner compris dans le prix, table d'hôtes)</t>
  </si>
  <si>
    <t xml:space="preserve">Commissions des agences en ligne</t>
  </si>
  <si>
    <t xml:space="preserve">Frais bancaires et cartes</t>
  </si>
  <si>
    <t xml:space="preserve">Blanchisserie et linge</t>
  </si>
  <si>
    <t xml:space="preserve">Produits d'accueil et consommables</t>
  </si>
  <si>
    <t xml:space="preserve">Total des charges variables</t>
  </si>
  <si>
    <t xml:space="preserve">Charges de structure</t>
  </si>
  <si>
    <t xml:space="preserve">Aide au ménage et au service (l'hôte n'est pas rémunéré ici)</t>
  </si>
  <si>
    <t xml:space="preserve">Électricité</t>
  </si>
  <si>
    <t xml:space="preserve">Autres énergies et eau</t>
  </si>
  <si>
    <t xml:space="preserve">Entretien et maintenance</t>
  </si>
  <si>
    <t xml:space="preserve">Marketing, site et logiciels</t>
  </si>
  <si>
    <t xml:space="preserve">Assurances</t>
  </si>
  <si>
    <t xml:space="preserve">Impôts et taxes</t>
  </si>
  <si>
    <t xml:space="preserve">Autres charges externes</t>
  </si>
  <si>
    <t xml:space="preserve">Total des charges de structure</t>
  </si>
  <si>
    <t xml:space="preserve">Excédent brut d'exploitation</t>
  </si>
  <si>
    <t xml:space="preserve">EBE (avant rémunération de l'hôte)</t>
  </si>
  <si>
    <t xml:space="preserve">EBE / CA</t>
  </si>
  <si>
    <t xml:space="preserve">Renouvellement, cotisations et dette</t>
  </si>
  <si>
    <t xml:space="preserve">Réserve de renouvellement (mobilier, équipements)</t>
  </si>
  <si>
    <t xml:space="preserve">Cotisations sociales (micro-entreprise)</t>
  </si>
  <si>
    <t xml:space="preserve">Annuité du prêt immobilier (totalité)</t>
  </si>
  <si>
    <t xml:space="preserve">   dont part imputée à l'activité</t>
  </si>
  <si>
    <t xml:space="preserve">Annuité du prêt d'équipement</t>
  </si>
  <si>
    <t xml:space="preserve">Annuités imputées à l'activité</t>
  </si>
  <si>
    <t xml:space="preserve">Annuités totales (maison comprise)</t>
  </si>
  <si>
    <t xml:space="preserve">Ce qui reste</t>
  </si>
  <si>
    <t xml:space="preserve">Revenu de l'activité après annuités imputées, avant impôt sur le revenu</t>
  </si>
  <si>
    <t xml:space="preserve">Rémunère le travail de l'hôte</t>
  </si>
  <si>
    <t xml:space="preserve">Reste après la totalité des annuités</t>
  </si>
  <si>
    <t xml:space="preserve">La part logement remplace un loyer ou un crédit personnel</t>
  </si>
  <si>
    <t xml:space="preserve">Trésorerie cumulée de l'activité (avec la trésorerie de démarrage)</t>
  </si>
  <si>
    <t xml:space="preserve">Simplifications : impôt sans report des déficits ; réserve de renouvellement non déduite de l'impôt ; mensualités constantes ; taxe de séjour hors CA (collectée pour la commune).</t>
  </si>
  <si>
    <t xml:space="preserve">Les charges de structure ne baissent pas quand l'activité baisse : c'est ce qui fait le point mort (onglet Indicateurs).</t>
  </si>
  <si>
    <t xml:space="preserve">Financement · Chambres d'hôtes haut de gamme, 5 chambres</t>
  </si>
  <si>
    <t xml:space="preserve">Besoins, apport, prêts et tableau d'amortissement. Mensualités constantes, présentées en cumul annuel.</t>
  </si>
  <si>
    <t xml:space="preserve">Coût du projet</t>
  </si>
  <si>
    <t xml:space="preserve">Lien vers les hypothèses.</t>
  </si>
  <si>
    <t xml:space="preserve">Prix de la maison</t>
  </si>
  <si>
    <t xml:space="preserve">Frais de notaire (droits de mutation, émoluments, débours)</t>
  </si>
  <si>
    <t xml:space="preserve">Prix × taux retenu dans les hypothèses (7,8 % par défaut) [S22] [S55].</t>
  </si>
  <si>
    <t xml:space="preserve">Honoraires d'agence</t>
  </si>
  <si>
    <t xml:space="preserve">Prix × taux d'honoraires (hypothèse illustrative) [S57] [S58].</t>
  </si>
  <si>
    <t xml:space="preserve">Audits avant l'achat (optionnel)</t>
  </si>
  <si>
    <t xml:space="preserve">Travaux de parties communes et de mise aux normes</t>
  </si>
  <si>
    <t xml:space="preserve">Frais de dossier et de garantie du prêt immobilier</t>
  </si>
  <si>
    <t xml:space="preserve">En % du prêt, calculé sur le besoin avant frais.</t>
  </si>
  <si>
    <t xml:space="preserve">Besoin immobilier</t>
  </si>
  <si>
    <t xml:space="preserve">Aménagement des chambres</t>
  </si>
  <si>
    <t xml:space="preserve">Nombre de chambres × coût par chambre.</t>
  </si>
  <si>
    <t xml:space="preserve">Trésorerie de démarrage</t>
  </si>
  <si>
    <t xml:space="preserve">Frais de dossier du prêt d'équipement</t>
  </si>
  <si>
    <t xml:space="preserve">Besoin d'équipement</t>
  </si>
  <si>
    <t xml:space="preserve">Coût total du projet</t>
  </si>
  <si>
    <t xml:space="preserve">Coût total par chambre</t>
  </si>
  <si>
    <t xml:space="preserve">La maison inclut le logement de l'hôte.</t>
  </si>
  <si>
    <t xml:space="preserve">Récapitulatif du coût total</t>
  </si>
  <si>
    <t xml:space="preserve">Prix d'achat</t>
  </si>
  <si>
    <t xml:space="preserve">Frais d'acquisition (notaire, agence, audits)</t>
  </si>
  <si>
    <t xml:space="preserve">Frais d'acquisition en % du prix</t>
  </si>
  <si>
    <t xml:space="preserve">Travaux et aménagements</t>
  </si>
  <si>
    <t xml:space="preserve">Frais de dossier et de garantie des prêts</t>
  </si>
  <si>
    <t xml:space="preserve">Coût total du projet (contrôle)</t>
  </si>
  <si>
    <t xml:space="preserve">Doit égaler le coût total ci-dessus.</t>
  </si>
  <si>
    <t xml:space="preserve">Ressources</t>
  </si>
  <si>
    <t xml:space="preserve">Apport sur le besoin immobilier</t>
  </si>
  <si>
    <t xml:space="preserve">Prêt immobilier</t>
  </si>
  <si>
    <t xml:space="preserve">Apport sur le besoin d'équipement</t>
  </si>
  <si>
    <t xml:space="preserve">Prêt d'équipement</t>
  </si>
  <si>
    <t xml:space="preserve">Apport total</t>
  </si>
  <si>
    <t xml:space="preserve">Prêts bancaires</t>
  </si>
  <si>
    <t xml:space="preserve">Part de l'apport dans le besoin total</t>
  </si>
  <si>
    <t xml:space="preserve">Conditions des deux prêts</t>
  </si>
  <si>
    <t xml:space="preserve">Prêt immobilier : taux annuel</t>
  </si>
  <si>
    <t xml:space="preserve">Taux de référence Banque de France augmenté de la majoration retenue (onglet Hypothèses).</t>
  </si>
  <si>
    <t xml:space="preserve">Prêt immobilier : durée</t>
  </si>
  <si>
    <t xml:space="preserve">Prêt immobilier : mensualité</t>
  </si>
  <si>
    <t xml:space="preserve">Fonction PMT (VPM) : mensualité constante.</t>
  </si>
  <si>
    <t xml:space="preserve">Prêt immobilier : annuité</t>
  </si>
  <si>
    <t xml:space="preserve">Prêt immobilier : coût total des intérêts</t>
  </si>
  <si>
    <t xml:space="preserve">Prêt d'équipement : taux annuel</t>
  </si>
  <si>
    <t xml:space="preserve">Prêt d'équipement : durée</t>
  </si>
  <si>
    <t xml:space="preserve">Prêt d'équipement : mensualité</t>
  </si>
  <si>
    <t xml:space="preserve">Prêt d'équipement : annuité</t>
  </si>
  <si>
    <t xml:space="preserve">Prêt d'équipement : coût total des intérêts</t>
  </si>
  <si>
    <t xml:space="preserve">Tableau d'amortissement annuel (années 1 à 10)</t>
  </si>
  <si>
    <t xml:space="preserve">Prêt immobilier : intérêts</t>
  </si>
  <si>
    <t xml:space="preserve">Prêt immobilier : capital remboursé</t>
  </si>
  <si>
    <t xml:space="preserve">Prêt immobilier : capital restant dû en fin d'année</t>
  </si>
  <si>
    <t xml:space="preserve">Prêt d'équipement : intérêts</t>
  </si>
  <si>
    <t xml:space="preserve">Prêt d'équipement : capital remboursé</t>
  </si>
  <si>
    <t xml:space="preserve">Prêt d'équipement : capital restant dû en fin d'année</t>
  </si>
  <si>
    <t xml:space="preserve">Service de la dette total (annuités)</t>
  </si>
  <si>
    <t xml:space="preserve">Indicateurs · Chambres d'hôtes haut de gamme, 5 chambres</t>
  </si>
  <si>
    <t xml:space="preserve">Synthèse de l'année 3 (année de croisière), ratios de couverture de la dette, point mort, trésorerie et délai de retour.</t>
  </si>
  <si>
    <t xml:space="preserve">Synthèse de l'année 3</t>
  </si>
  <si>
    <t xml:space="preserve">Part de la maison affectée à l'activité appliquée au prêt immobilier, plus le prêt d'équipement.</t>
  </si>
  <si>
    <t xml:space="preserve">Couverture de la dette imputée (EBE / annuités imputées)</t>
  </si>
  <si>
    <t xml:space="preserve">Seuil de lecture retenu : voir Hypothèses (aucun seuil bancaire publié). </t>
  </si>
  <si>
    <t xml:space="preserve">Couverture de la totalité des annuités</t>
  </si>
  <si>
    <t xml:space="preserve">Marge sur charges variables par point d'occupation (calcul)</t>
  </si>
  <si>
    <t xml:space="preserve">Recettes moins charges variables, rapportées au taux d'occupation des mois d'ouverture (approximation linéaire).</t>
  </si>
  <si>
    <t xml:space="preserve">Taux d'occupation point mort, avant dette (mois d'ouverture)</t>
  </si>
  <si>
    <t xml:space="preserve">Occupation qui couvre les charges de structure.</t>
  </si>
  <si>
    <t xml:space="preserve">Taux d'occupation point mort, annuités imputées comprises</t>
  </si>
  <si>
    <t xml:space="preserve">Occupation qui couvre aussi les annuités imputées à l'activité.</t>
  </si>
  <si>
    <t xml:space="preserve">Revenu de l'activité après annuités imputées (année 3)</t>
  </si>
  <si>
    <t xml:space="preserve">Avant impôt sur le revenu : il rémunère le travail de l'hôte.</t>
  </si>
  <si>
    <t xml:space="preserve">Prix, frais d'acquisition, travaux, trésorerie de démarrage et frais de dossier (récapitulatif dans l'onglet Financement).</t>
  </si>
  <si>
    <t xml:space="preserve">Dont frais d'acquisition (notaire, agence, audits)</t>
  </si>
  <si>
    <t xml:space="preserve">Année par année</t>
  </si>
  <si>
    <t xml:space="preserve">Couverture de la dette imputée</t>
  </si>
  <si>
    <t xml:space="preserve">Flux d'exploitation avant financement (EBE, réserve, cotisations)</t>
  </si>
  <si>
    <t xml:space="preserve">Lecture de la couverture</t>
  </si>
  <si>
    <t xml:space="preserve">Flux de trésorerie après dette imputée</t>
  </si>
  <si>
    <t xml:space="preserve">Flux cumulés depuis l'année 1</t>
  </si>
  <si>
    <t xml:space="preserve">Trésorerie cumulée (avec la trésorerie de démarrage)</t>
  </si>
  <si>
    <t xml:space="preserve">Retour sur apport</t>
  </si>
  <si>
    <t xml:space="preserve">Investissement imputé à l'activité</t>
  </si>
  <si>
    <t xml:space="preserve">Part de la maison affectée à l'activité, plus l'aménagement des chambres.</t>
  </si>
  <si>
    <t xml:space="preserve">Flux d'exploitation annuel moyen avant financement</t>
  </si>
  <si>
    <t xml:space="preserve">Délai de récupération simple de l'investissement</t>
  </si>
  <si>
    <t xml:space="preserve">Investissement / flux d'exploitation annuel moyen avant financement (sans actualisation ni revente). Le flux rémunère aussi le travail de l'hôte.</t>
  </si>
  <si>
    <t xml:space="preserve">Flux annuel moyen après dette sur 10 ans</t>
  </si>
  <si>
    <t xml:space="preserve">Flux annuel moyen / apport</t>
  </si>
  <si>
    <t xml:space="preserve">Rendement simple de l'apport, avant toute plus-value de revente.</t>
  </si>
  <si>
    <t xml:space="preserve">Délai de retour de l'apport par les flux après dette</t>
  </si>
  <si>
    <t xml:space="preserve">Première année où les flux cumulés dépassent l'apport (hors revente). Ici, les flux rémunèrent aussi le travail de l'hôte.</t>
  </si>
  <si>
    <t xml:space="preserve">Comment lire : la couverture de la dette rapporte l'EBE aux annuités. Le point mort donne le taux d'occupation en dessous duquel l'activité ne couvre plus ses charges fixes, puis ses annuités. Comparez ces chiffres à vos propres devis et aux propositions de vos banques : aucun seuil bancaire public n'existe pour l'hôtellerie indépendante.</t>
  </si>
  <si>
    <t xml:space="preserve">Conseils · Chambres d'hôtes haut de gamme, 5 chambres</t>
  </si>
  <si>
    <t xml:space="preserve">Listes de contrôle tirées des guides publics. Chaque point renvoie à sa source (onglet Sources).</t>
  </si>
  <si>
    <t xml:space="preserve">1. Avant de vous engager</t>
  </si>
  <si>
    <t xml:space="preserve">Point</t>
  </si>
  <si>
    <t xml:space="preserve">Ce qu'il faut vérifier ou faire</t>
  </si>
  <si>
    <t xml:space="preserve">Source</t>
  </si>
  <si>
    <t xml:space="preserve">L'activité réelle</t>
  </si>
  <si>
    <t xml:space="preserve">Demandez les trois derniers bilans et l'activité mois par mois (taux d'occupation, prix moyen, RevPAR, part des agences en ligne). Comparez aux observatoires publics de l'onglet Hypothèses, en gardant en tête que les panels portent surtout sur des hôtels de chaîne : en Gironde, les indépendants occupent 57,1 % de leurs chambres contre 65,0 % pour les chaînes (Insee, 2025).</t>
  </si>
  <si>
    <t xml:space="preserve">[S1] [S5]</t>
  </si>
  <si>
    <t xml:space="preserve">Les travaux</t>
  </si>
  <si>
    <t xml:space="preserve">Faites chiffrer les travaux par des devis et séparez le gros œuvre (à la charge des murs) de l'aménagement (à la charge de l'exploitant). Les repères publics ne couvrent que l'aménagement : 5 000 à 15 000 € par chambre en 2 et 3 étoiles, 15 000 à 35 000 € en 4 étoiles.</t>
  </si>
  <si>
    <t xml:space="preserve">[S24]</t>
  </si>
  <si>
    <t xml:space="preserve">La définition légale</t>
  </si>
  <si>
    <t xml:space="preserve">Une chambre d'hôtes, c'est 5 chambres et 15 personnes au plus, chez l'habitant présent, petit-déjeuner, linge et ménage compris. Au-delà, on parle de chambres chez l'habitant et les règles des hôtels, des établissements recevant du public et de l'accessibilité s'appliquent.</t>
  </si>
  <si>
    <t xml:space="preserve">[S33] [S34]</t>
  </si>
  <si>
    <t xml:space="preserve">Les chambres</t>
  </si>
  <si>
    <t xml:space="preserve">9 m² au moins hors sanitaires (12 m² en pratique), 2,20 m sous plafond, accès à une salle d'eau et à des toilettes. Ménage quotidien sans supplément.</t>
  </si>
  <si>
    <t xml:space="preserve">[S33]</t>
  </si>
  <si>
    <t xml:space="preserve">Le règlement de copropriété ou le PLU</t>
  </si>
  <si>
    <t xml:space="preserve">Vérifiez que rien ne s'oppose à la location de courte durée et informez la copropriété le cas échéant.</t>
  </si>
  <si>
    <t xml:space="preserve">2. Les démarches</t>
  </si>
  <si>
    <t xml:space="preserve">Déclaration en mairie</t>
  </si>
  <si>
    <t xml:space="preserve">Avant d'accueillir vos premiers hôtes : formulaire Cerfa 13566. Toute modification exige une nouvelle déclaration. Défaut de déclaration : jusqu'à 450 € d'amende.</t>
  </si>
  <si>
    <t xml:space="preserve">Immatriculation</t>
  </si>
  <si>
    <t xml:space="preserve">Au registre du commerce et des sociétés si l'activité est habituelle, par le guichet des formalités des entreprises.</t>
  </si>
  <si>
    <t xml:space="preserve">Fiscalité</t>
  </si>
  <si>
    <t xml:space="preserve">Micro-entreprise jusqu'à 188 700 € HT de CA, abattement de 71 % ; TVA de 10 % sur l'hébergement et la table d'hôtes sauf franchise, 20 % sur l'alcool.</t>
  </si>
  <si>
    <t xml:space="preserve">Cotisations sociales</t>
  </si>
  <si>
    <t xml:space="preserve">Affiliation obligatoire au-delà de 6 028 € de revenu imposable ; en micro-entreprise, 12,80 % du CA pour l'hébergement.</t>
  </si>
  <si>
    <t xml:space="preserve">[S33] [S35]</t>
  </si>
  <si>
    <t xml:space="preserve">Prix et fiches</t>
  </si>
  <si>
    <t xml:space="preserve">Affichez les prix à l'extérieur, à l'accueil et dans chaque chambre ; remettez une note détaillée. Fiche de police pour les clients étrangers, conservée six mois.</t>
  </si>
  <si>
    <t xml:space="preserve">Table d'hôtes et alcool</t>
  </si>
  <si>
    <t xml:space="preserve">Servir de l'alcool suppose une licence et un permis d'exploitation : la formation est réduite à 7 heures pour les loueurs de chambres d'hôtes. Déclaration en mairie 15 jours avant (Cerfa 11542).</t>
  </si>
  <si>
    <t xml:space="preserve">[S36]</t>
  </si>
  <si>
    <t xml:space="preserve">Taxe de séjour</t>
  </si>
  <si>
    <t xml:space="preserve">Chambres d'hôtes : 0,20 à 0,80 € par personne et par nuit selon la commune, au réel ou au forfait. Le tarif doit être affiché dans la chambre.</t>
  </si>
  <si>
    <t xml:space="preserve">[S39] [S33]</t>
  </si>
  <si>
    <t xml:space="preserve">Labels</t>
  </si>
  <si>
    <t xml:space="preserve">Il n'existe pas de classement officiel des chambres d'hôtes ; environ un quart adhère à un label ou à une charte.</t>
  </si>
  <si>
    <t xml:space="preserve">3. Le financement</t>
  </si>
  <si>
    <t xml:space="preserve">L'apport</t>
  </si>
  <si>
    <t xml:space="preserve">30 % sur le fonds de commerce ; sur les murs, 10 % au minimum selon MetLife, 20 à 30 % selon Keobiz. Un dossier qui suppose moins d'apport doit s'appuyer sur une garantie, un prêt public ou un crédit-vendeur (remboursé en 3 ans au plus).</t>
  </si>
  <si>
    <t xml:space="preserve">[S27] [S28] [S29]</t>
  </si>
  <si>
    <t xml:space="preserve">Les durées</t>
  </si>
  <si>
    <t xml:space="preserve">15 à 20 ans pour les murs, 7 à 10 ans pour le fonds et les aménagements. Une seule durée longue pour l'ensemble sous-estime les annuités des premières années.</t>
  </si>
  <si>
    <t xml:space="preserve">Le taux</t>
  </si>
  <si>
    <t xml:space="preserve">Nouveaux crédits aux PME : 3,71 % en août 2026 ; crédits à l'habitat : 3,32 %. Aucune statistique ne donne le taux d'un prêt hôtelier à taux fixe long : demandez plusieurs offres.</t>
  </si>
  <si>
    <t xml:space="preserve">[S25] [S26]</t>
  </si>
  <si>
    <t xml:space="preserve">Ce que regarde la banque</t>
  </si>
  <si>
    <t xml:space="preserve">Repères génériques cités par un assureur emprunteur : capacité d'autofinancement d'environ 5 % du CA, EBE supérieur à 8 fois les frais financiers pour un dossier solide. Présentez un prévisionnel mois par mois qui montre la basse saison.</t>
  </si>
  <si>
    <t xml:space="preserve">[S52]</t>
  </si>
  <si>
    <t xml:space="preserve">Le contexte</t>
  </si>
  <si>
    <t xml:space="preserve">9 721 défaillances en hébergement-restauration sur douze mois à fin juillet 2026 (+7,4 %) : les banques regardent de près la trésorerie de basse saison.</t>
  </si>
  <si>
    <t xml:space="preserve">[S51]</t>
  </si>
  <si>
    <t xml:space="preserve">4. Garanties et prêts publics</t>
  </si>
  <si>
    <t xml:space="preserve">Bpifrance, garantie Création</t>
  </si>
  <si>
    <t xml:space="preserve">Jusqu'à 60 % du prêt pour une entreprise de moins de 3 ans (80 % en Création verte), y compris pour la reprise d'un fonds ; jusqu'à 200 000 € sans instruction préalable par Bpifrance.</t>
  </si>
  <si>
    <t xml:space="preserve">[S40]</t>
  </si>
  <si>
    <t xml:space="preserve">Bpifrance, garantie Transmission</t>
  </si>
  <si>
    <t xml:space="preserve">50 % du prêt de reprise, jusqu'à 70 % avec la Région ; variante verte jusqu'à 80 % sur 2 à 7 ans.</t>
  </si>
  <si>
    <t xml:space="preserve">[S44]</t>
  </si>
  <si>
    <t xml:space="preserve">SIAGI</t>
  </si>
  <si>
    <t xml:space="preserve">Jusqu'à 50 % seule, 80 % avec une co-garantie (Bpifrance, collectivité, FEI) ; crédits de 5 000 € à 4 M€ sur 24 à 180 mois ; entreprises de moins de 50 salariés.</t>
  </si>
  <si>
    <t xml:space="preserve">[S42]</t>
  </si>
  <si>
    <t xml:space="preserve">France Active</t>
  </si>
  <si>
    <t xml:space="preserve">65 à 80 % selon la garantie, 50 000 à 200 000 € garantis au plus, commission de 2,5 % du montant garanti ; cautions personnelles exclues ou limitées. Réservé à certains publics (création de son emploi, quartiers prioritaires, économie sociale et solidaire).</t>
  </si>
  <si>
    <t xml:space="preserve">[S41]</t>
  </si>
  <si>
    <t xml:space="preserve">Bpifrance, Prêt Tourisme</t>
  </si>
  <si>
    <t xml:space="preserve">50 000 € à 2 M€ sur 3 à 10 ans, à taux fixe, à parité avec un prêt bancaire ou des fonds propres, pour les entreprises du tourisme de plus de 3 ans : utile pour des travaux après la reprise.</t>
  </si>
  <si>
    <t xml:space="preserve">[S43]</t>
  </si>
  <si>
    <t xml:space="preserve">5. Aides des régions de la côte ouest</t>
  </si>
  <si>
    <t xml:space="preserve">Région</t>
  </si>
  <si>
    <t xml:space="preserve">Dispositif et conditions principales</t>
  </si>
  <si>
    <t xml:space="preserve">Bretagne</t>
  </si>
  <si>
    <t xml:space="preserve">PASS Investissement entreprises touristiques : hôtels classés 1 à 5 étoiles après travaux, SCI éligibles, dépenses de 100 000 € au moins ; prêt jusqu'à 150 000 € à 0 % ou 200 000 € à 1,5 %, 20 % des dépenses au plus, sur 5 ans dont 2 de différé. Volet reprise : prêt à taux zéro jusqu'à 80 000 €. Fiches de 2022 : ouverture en 2026 à confirmer auprès de la Région.</t>
  </si>
  <si>
    <t xml:space="preserve">[S45]</t>
  </si>
  <si>
    <t xml:space="preserve">Normandie</t>
  </si>
  <si>
    <t xml:space="preserve">Impulsion Développement, annexe tourisme (règlement applicable au 1er janvier 2026) : hôtels et hôtels-restaurants, SCI détenues par les exploitants ; programme de 300 000 € au moins sur 3 ans ; prêt à taux zéro sans garantie jusqu'à 25 % des dépenses, plafonné à 1 M€ et aux fonds propres, sur 7 ans dont 2 de différé ; label Qualité Tourisme exigé ou engagé.</t>
  </si>
  <si>
    <t xml:space="preserve">[S46]</t>
  </si>
  <si>
    <t xml:space="preserve">Pays de la Loire</t>
  </si>
  <si>
    <t xml:space="preserve">AGIR Tourisme : dépenses de 30 000 € au moins pour l'hôtellerie ; prêt régional à 2,4 % sur 2 à 10 ans, différé de 12 à 36 mois possible ; prêt à 1,2 % et subvention pour l'accessibilité au-delà des normes ou la transition écologique ; engagement écologique demandé.</t>
  </si>
  <si>
    <t xml:space="preserve">[S47]</t>
  </si>
  <si>
    <t xml:space="preserve">Nouvelle-Aquitaine</t>
  </si>
  <si>
    <t xml:space="preserve">Aide à l'hôtellerie indépendante : hôtels de 2 à 5 étoiles après travaux, ouverts 6 mois par an, SCI exclues ; projet de 50 000 à 300 000 € HT sur le littoral et la métropole bordelaise (400 000 € ailleurs) ; subvention jusqu'à 15 % ; maintien de l'activité 5 ans.</t>
  </si>
  <si>
    <t xml:space="preserve">[S48]</t>
  </si>
  <si>
    <t xml:space="preserve">6. Après la reprise</t>
  </si>
  <si>
    <t xml:space="preserve">Suivre les bons chiffres</t>
  </si>
  <si>
    <t xml:space="preserve">Chaque mois : taux d'occupation, prix moyen, RevPAR, part et coût des agences en ligne, masse salariale en % du CA. Remplacez les hypothèses de ce fichier par vos réalisations.</t>
  </si>
  <si>
    <t xml:space="preserve">[S1] [S11]</t>
  </si>
  <si>
    <t xml:space="preserve">Renouveler</t>
  </si>
  <si>
    <t xml:space="preserve">Provisionnez chaque année de quoi renouveler mobilier et équipements : 4 % du CA est un minimum, les dépenses constatées sont plus proches de 7 à 8 %.</t>
  </si>
  <si>
    <t xml:space="preserve">[S14]</t>
  </si>
  <si>
    <t xml:space="preserve">Sources · Chambres d'hôtes haut de gamme, 5 chambres</t>
  </si>
  <si>
    <t xml:space="preserve">Organisme, document, date de publication ou de mise à jour, adresse. Consultées entre le 9 et le 12 octobre 2026.</t>
  </si>
  <si>
    <t xml:space="preserve">Réf.</t>
  </si>
  <si>
    <t xml:space="preserve">Organisme</t>
  </si>
  <si>
    <t xml:space="preserve">Document</t>
  </si>
  <si>
    <t xml:space="preserve">Date</t>
  </si>
  <si>
    <t xml:space="preserve">Adresse</t>
  </si>
  <si>
    <t xml:space="preserve">S1</t>
  </si>
  <si>
    <t xml:space="preserve">UMIH-GNC et MKG</t>
  </si>
  <si>
    <t xml:space="preserve">Observatoire mensuel des performances hôtelières, décembre 2025 (cumul 2025)</t>
  </si>
  <si>
    <t xml:space="preserve">janvier 2026</t>
  </si>
  <si>
    <t xml:space="preserve">https://www.umih.fr/assets/files/site/ressources/observatoires-et-etudes/Observatoire_mensuel_des_performances_hotelieres_UMIH___GNC_Decembre_2025.pdf</t>
  </si>
  <si>
    <t xml:space="preserve">S2</t>
  </si>
  <si>
    <t xml:space="preserve">Observatoire mensuel des performances hôtelières, août 2025</t>
  </si>
  <si>
    <t xml:space="preserve">septembre 2025</t>
  </si>
  <si>
    <t xml:space="preserve">https://www.umih.fr/assets/files/site/ressources/observatoires-et-etudes/Observatoire_mensuel_des_performances_hotelieres_UMIH___GNC___Aout_2025.pdf</t>
  </si>
  <si>
    <t xml:space="preserve">S3</t>
  </si>
  <si>
    <t xml:space="preserve">Observatoire mensuel des performances hôtelières, janvier 2025</t>
  </si>
  <si>
    <t xml:space="preserve">février 2025</t>
  </si>
  <si>
    <t xml:space="preserve">https://www.umih.fr/assets/files/site/ressources/observatoires-et-etudes/Observatoire_mensuel_des_performances_hotelieres_UMIH___GNC_Janvier2025.pdf</t>
  </si>
  <si>
    <t xml:space="preserve">S4</t>
  </si>
  <si>
    <t xml:space="preserve">Normandie Tourisme et Insee</t>
  </si>
  <si>
    <t xml:space="preserve">Bilan 2025 : la fréquentation dans l'hôtellerie (taux d'occupation mensuels et par catégorie)</t>
  </si>
  <si>
    <t xml:space="preserve">avril 2026</t>
  </si>
  <si>
    <t xml:space="preserve">https://pro.normandie-tourisme.fr/app/uploads/sites/2/2026/04/la-frequentation-dans-lhotellerie-en-2025.pdf</t>
  </si>
  <si>
    <t xml:space="preserve">S5</t>
  </si>
  <si>
    <t xml:space="preserve">Gironde Tourisme</t>
  </si>
  <si>
    <t xml:space="preserve">Bilan touristique 2025 (occupation des hôtels de chaîne et indépendants, enquête Insee)</t>
  </si>
  <si>
    <t xml:space="preserve">mars 2026</t>
  </si>
  <si>
    <t xml:space="preserve">https://www.gironde-tourisme.com/espace-pro/wp-content/uploads/sites/2/2026/03/Gironde-Bilan-touristique-2025.pdf</t>
  </si>
  <si>
    <t xml:space="preserve">S6</t>
  </si>
  <si>
    <t xml:space="preserve">Banque de France</t>
  </si>
  <si>
    <t xml:space="preserve">Fascicule de résultats sectoriels 2023, secteur 55 Hébergement (base FIBEN)</t>
  </si>
  <si>
    <t xml:space="preserve">décembre 2024</t>
  </si>
  <si>
    <t xml:space="preserve">https://www.banque-france.fr/system/files/2024-12/fascicule-sectoriel-hebergement-55-2023.pdf</t>
  </si>
  <si>
    <t xml:space="preserve">S7</t>
  </si>
  <si>
    <t xml:space="preserve">Fascicule de résultats sectoriels 2023, secteur 56 Restauration (base FIBEN)</t>
  </si>
  <si>
    <t xml:space="preserve">https://www.banque-france.fr/system/files/2024-12/fascicule-sectoriel-restauration-56-2023.pdf</t>
  </si>
  <si>
    <t xml:space="preserve">S8</t>
  </si>
  <si>
    <t xml:space="preserve">Keobiz</t>
  </si>
  <si>
    <t xml:space="preserve">Ratio de masse salariale dans les CHR</t>
  </si>
  <si>
    <t xml:space="preserve">mis à jour le 25/07/2026</t>
  </si>
  <si>
    <t xml:space="preserve">https://www.keobiz.fr/fiches-pratiques/ratio-masse-salariale-chr/</t>
  </si>
  <si>
    <t xml:space="preserve">S9</t>
  </si>
  <si>
    <t xml:space="preserve">UMIH</t>
  </si>
  <si>
    <t xml:space="preserve">L'Essentiel n° 40 (charges de personnel de la restauration, exercice 2025)</t>
  </si>
  <si>
    <t xml:space="preserve">juillet-août 2026</t>
  </si>
  <si>
    <t xml:space="preserve">https://www.umih.fr/assets/files/site/medias/l-essentiel-nous-chrd/2026_juillet_aout_L_Essentiel_40.pdf</t>
  </si>
  <si>
    <t xml:space="preserve">S10</t>
  </si>
  <si>
    <t xml:space="preserve">GHR et UMIH</t>
  </si>
  <si>
    <t xml:space="preserve">Communiqué de presse sur l'énergie (achats d'électricité : 3,8 % du CA)</t>
  </si>
  <si>
    <t xml:space="preserve">12/02/2024</t>
  </si>
  <si>
    <t xml:space="preserve">https://www.umih.fr/assets/files/site/medias/communiques-de-presse/2024/240212_CP%20GHR-UMIH%20Energie.pdf</t>
  </si>
  <si>
    <t xml:space="preserve">S11</t>
  </si>
  <si>
    <t xml:space="preserve">HOTREC et HES-SO, via Hospitality ON</t>
  </si>
  <si>
    <t xml:space="preserve">European Hotel Distribution Study 2026 (part des agences en ligne : 29,9 % des nuitées en 2025)</t>
  </si>
  <si>
    <t xml:space="preserve">02/10/2026</t>
  </si>
  <si>
    <t xml:space="preserve">https://hospitality-on.com/fr/distribution/distribution-hoteliere-europeenne-le-duopole-booking-expedia-se-fige-les-rapports-de</t>
  </si>
  <si>
    <t xml:space="preserve">S12</t>
  </si>
  <si>
    <t xml:space="preserve">Journal de l'économie (collectif Contact Hôtels)</t>
  </si>
  <si>
    <t xml:space="preserve">Commission moyenne de 17 % versée aux agences en ligne</t>
  </si>
  <si>
    <t xml:space="preserve">12/08/2021</t>
  </si>
  <si>
    <t xml:space="preserve">https://www.journaldeleconomie.fr/?p=25192</t>
  </si>
  <si>
    <t xml:space="preserve">S13</t>
  </si>
  <si>
    <t xml:space="preserve">Sénat</t>
  </si>
  <si>
    <t xml:space="preserve">Rapport n° 587 (2017-2018), note de synthèse : commissions des plateformes = 4 à 5 % du CA hôtelier</t>
  </si>
  <si>
    <t xml:space="preserve">28/06/2018</t>
  </si>
  <si>
    <t xml:space="preserve">https://www.senat.fr/rap/r17-587/r17-587-syn.pdf</t>
  </si>
  <si>
    <t xml:space="preserve">S14</t>
  </si>
  <si>
    <t xml:space="preserve">ISHC et HAMA, via CoStar</t>
  </si>
  <si>
    <t xml:space="preserve">Réserve de renouvellement usuelle de 4 % du CA (dépenses constatées : 7,6 %)</t>
  </si>
  <si>
    <t xml:space="preserve">13/02/2019</t>
  </si>
  <si>
    <t xml:space="preserve">https://costar.com/article/1366873980/capex-study-authors-4-reserves-not-enough</t>
  </si>
  <si>
    <t xml:space="preserve">S15</t>
  </si>
  <si>
    <t xml:space="preserve">Gouvernement (info.gouv.fr)</t>
  </si>
  <si>
    <t xml:space="preserve">Le SMIC revalorisé au 1er janvier 2026 (12,02 € brut de l'heure)</t>
  </si>
  <si>
    <t xml:space="preserve">15/12/2025</t>
  </si>
  <si>
    <t xml:space="preserve">https://www.info.gouv.fr/actualite/le-smic-revalorise-au-1er-janvier-2026</t>
  </si>
  <si>
    <t xml:space="preserve">S16</t>
  </si>
  <si>
    <t xml:space="preserve">Fédération française du bâtiment</t>
  </si>
  <si>
    <t xml:space="preserve">Augmentation du SMIC au 1er juin 2026 (+2,41 %, 12,31 € de l'heure)</t>
  </si>
  <si>
    <t xml:space="preserve">mai 2026</t>
  </si>
  <si>
    <t xml:space="preserve">https://www.ffbatiment.fr/actualites-batiment/actualite/augmentation-smic-juin-2026</t>
  </si>
  <si>
    <t xml:space="preserve">S17</t>
  </si>
  <si>
    <t xml:space="preserve">L'Hôtellerie Restauration (A. Desthuilliers)</t>
  </si>
  <si>
    <t xml:space="preserve">Évaluation d'un fonds de commerce : la qualité du bail (loyer de 10 à 15 % du CA HT)</t>
  </si>
  <si>
    <t xml:space="preserve">28/08/2024</t>
  </si>
  <si>
    <t xml:space="preserve">https://www.lhotellerie-restauration.fr/sos-experts/comment-evaluer-la-qualite-d-un-bail-dans-le-cadre-d-une-evaluation</t>
  </si>
  <si>
    <t xml:space="preserve">S18</t>
  </si>
  <si>
    <t xml:space="preserve">Extendam, via Hospitality ON</t>
  </si>
  <si>
    <t xml:space="preserve">Taux de capitalisation des murs hôteliers : 7 à 8 % en province</t>
  </si>
  <si>
    <t xml:space="preserve">01/12/2023</t>
  </si>
  <si>
    <t xml:space="preserve">https://hospitality-on.com/fr/investisseurs/bpifrance-et-extendam-reunissent-les-banquiers-pour-parler-investissement-hotelier</t>
  </si>
  <si>
    <t xml:space="preserve">S19</t>
  </si>
  <si>
    <t xml:space="preserve">Favre-Réguillon Expertises et FDC Études</t>
  </si>
  <si>
    <t xml:space="preserve">Valeurs de fonds de commerce d'hôtellerie (cessions 2008 à 2019)</t>
  </si>
  <si>
    <t xml:space="preserve">2020</t>
  </si>
  <si>
    <t xml:space="preserve">https://www.ifc-expertise.fr/valeurs-de-fonds-de-commerce-dhotellerie-entre-mythes-et-realites/</t>
  </si>
  <si>
    <t xml:space="preserve">S20</t>
  </si>
  <si>
    <t xml:space="preserve">Cushman &amp; Wakefield</t>
  </si>
  <si>
    <t xml:space="preserve">Marketbeat Hospitality France, 1er semestre 2026 (prix par chambre)</t>
  </si>
  <si>
    <t xml:space="preserve">2026</t>
  </si>
  <si>
    <t xml:space="preserve">https://www.cushmanwakefield.com/fr-fr/france/insights/paris-marketbeat-hospitality</t>
  </si>
  <si>
    <t xml:space="preserve">S21</t>
  </si>
  <si>
    <t xml:space="preserve">CCI Paris Île-de-France</t>
  </si>
  <si>
    <t xml:space="preserve">Acquisition d'un fonds de commerce : quelles conséquences fiscales ?</t>
  </si>
  <si>
    <t xml:space="preserve">mis à jour le 25/06/2026</t>
  </si>
  <si>
    <t xml:space="preserve">https://www.entreprises.cci-paris-idf.fr/fiches-pratiques/acquisition-dun-fonds-de-commerce-quelles-consequences-fiscales</t>
  </si>
  <si>
    <t xml:space="preserve">S22</t>
  </si>
  <si>
    <t xml:space="preserve">Notaires de France</t>
  </si>
  <si>
    <t xml:space="preserve">Frais de notaire : frais d'achat immobilier (droits, émoluments, contribution de sécurité immobilière)</t>
  </si>
  <si>
    <t xml:space="preserve">mis à jour le 11/02/2026</t>
  </si>
  <si>
    <t xml:space="preserve">https://www.notaires.fr/fr/immobilier-fiscalite/financement/les-frais-dacquisition</t>
  </si>
  <si>
    <t xml:space="preserve">S23</t>
  </si>
  <si>
    <t xml:space="preserve">WebLex, d'après impots.gouv.fr</t>
  </si>
  <si>
    <t xml:space="preserve">Vente d'immeubles : les taux applicables au 1er juin 2026 (88 départements à 5 %)</t>
  </si>
  <si>
    <t xml:space="preserve">12/06/2026</t>
  </si>
  <si>
    <t xml:space="preserve">https://www.weblex.fr/weblex-actualite/vente-d-immeubles-les-taux-et-exonerations-applicables-au-1er-juin-2026-sont-connus</t>
  </si>
  <si>
    <t xml:space="preserve">S24</t>
  </si>
  <si>
    <t xml:space="preserve">Coût d'aménagement d'une chambre d'hôtel</t>
  </si>
  <si>
    <t xml:space="preserve">https://www.keobiz.fr/fiches-pratiques/ouvrir-restaurant-hotel/cout-amenagement-chambre-hotel/</t>
  </si>
  <si>
    <t xml:space="preserve">S25</t>
  </si>
  <si>
    <t xml:space="preserve">Stat Info Financement des entreprises, août 2026 (nouveaux crédits aux PME : 3,71 %)</t>
  </si>
  <si>
    <t xml:space="preserve">08/10/2026</t>
  </si>
  <si>
    <t xml:space="preserve">https://www.banque-france.fr/fr/statistiques/credit/financement-des-entreprises-2026-08</t>
  </si>
  <si>
    <t xml:space="preserve">S26</t>
  </si>
  <si>
    <t xml:space="preserve">Stat Info Crédits aux particuliers, août 2026 (crédits à l'habitat : 3,32 %)</t>
  </si>
  <si>
    <t xml:space="preserve">06/10/2026</t>
  </si>
  <si>
    <t xml:space="preserve">https://www.banque-france.fr/system/files/2026-10/Stat_info_Credits_aux_particuliers_202608.pdf</t>
  </si>
  <si>
    <t xml:space="preserve">S27</t>
  </si>
  <si>
    <t xml:space="preserve">Hôtelier, au moment d'acheter vos murs : prêt bancaire ou crédit-bail ?</t>
  </si>
  <si>
    <t xml:space="preserve">https://www.keobiz.fr/fiches-pratiques/ouvrir-restaurant-hotel/financement-immobilier-credit-bail-hotel/</t>
  </si>
  <si>
    <t xml:space="preserve">S28</t>
  </si>
  <si>
    <t xml:space="preserve">MetLife France</t>
  </si>
  <si>
    <t xml:space="preserve">Comment financer l'achat ou la reprise d'un hôtel ?</t>
  </si>
  <si>
    <t xml:space="preserve">https://www.metlife.fr/assurance-emprunteur/pret-professionnel/financement-hotel/</t>
  </si>
  <si>
    <t xml:space="preserve">S29</t>
  </si>
  <si>
    <t xml:space="preserve">CAFPI</t>
  </si>
  <si>
    <t xml:space="preserve">Financement fonds de commerce : tout ce qu'il faut savoir</t>
  </si>
  <si>
    <t xml:space="preserve">mis à jour le 17/12/2024</t>
  </si>
  <si>
    <t xml:space="preserve">https://www.cafpi.fr/pret-professionnel/murs-professionnels/financement-fonds-de-commerce-tout-ce-qu-il-faut-savoir</t>
  </si>
  <si>
    <t xml:space="preserve">S30</t>
  </si>
  <si>
    <t xml:space="preserve">Service Public Entreprendre</t>
  </si>
  <si>
    <t xml:space="preserve">Impôt sur les sociétés (taux normal et taux réduit)</t>
  </si>
  <si>
    <t xml:space="preserve">vérifié le 17/02/2026</t>
  </si>
  <si>
    <t xml:space="preserve">https://entreprendre.service-public.gouv.fr/vosdroits/F23575</t>
  </si>
  <si>
    <t xml:space="preserve">S31</t>
  </si>
  <si>
    <t xml:space="preserve">Taux de TVA dans le secteur de l'hébergement et de l'hôtellerie</t>
  </si>
  <si>
    <t xml:space="preserve">vérifié le 01/01/2024</t>
  </si>
  <si>
    <t xml:space="preserve">https://entreprendre.service-public.gouv.fr/vosdroits/F37288</t>
  </si>
  <si>
    <t xml:space="preserve">S32</t>
  </si>
  <si>
    <t xml:space="preserve">Service Public (DILA), repris sur justice.fr</t>
  </si>
  <si>
    <t xml:space="preserve">Taux de TVA sur les produits alimentaires et les boissons</t>
  </si>
  <si>
    <t xml:space="preserve">mis à jour le 03/12/2025</t>
  </si>
  <si>
    <t xml:space="preserve">https://www.justice.fr/fiche/taux-tva-produits-alimentaires-boissons</t>
  </si>
  <si>
    <t xml:space="preserve">S33</t>
  </si>
  <si>
    <t xml:space="preserve">Direction générale des Entreprises</t>
  </si>
  <si>
    <t xml:space="preserve">Les chambres d'hôtes (réglementation, fiscalité, cotisations)</t>
  </si>
  <si>
    <t xml:space="preserve">10/02/2025</t>
  </si>
  <si>
    <t xml:space="preserve">https://www.entreprises.gouv.fr/fr/tourisme/conseils-strategie/chambres-d-hotes</t>
  </si>
  <si>
    <t xml:space="preserve">S34</t>
  </si>
  <si>
    <t xml:space="preserve">DGCCRF</t>
  </si>
  <si>
    <t xml:space="preserve">Chambres d'hôtes : quelle est la réglementation applicable ?</t>
  </si>
  <si>
    <t xml:space="preserve">22/04/2026</t>
  </si>
  <si>
    <t xml:space="preserve">https://www.economie.gouv.fr/dgccrf/les-fiches-pratiques-et-les-faq/chambres-dhotes-quelle-est-la-reglementation-applicable</t>
  </si>
  <si>
    <t xml:space="preserve">S35</t>
  </si>
  <si>
    <t xml:space="preserve">Urssaf</t>
  </si>
  <si>
    <t xml:space="preserve">Micro-entrepreneur : l'essentiel du statut (taux de cotisations)</t>
  </si>
  <si>
    <t xml:space="preserve">consulté le 11/10/2026</t>
  </si>
  <si>
    <t xml:space="preserve">https://www.autoentrepreneur.urssaf.fr/portail/accueil/sinformer-sur-le-statut/lessentiel-du-statut.html</t>
  </si>
  <si>
    <t xml:space="preserve">S36</t>
  </si>
  <si>
    <t xml:space="preserve">Licences de débits de boissons et permis d'exploitation</t>
  </si>
  <si>
    <t xml:space="preserve">vérifié le 27/11/2025</t>
  </si>
  <si>
    <t xml:space="preserve">https://entreprendre.service-public.gouv.fr/vosdroits/F22379</t>
  </si>
  <si>
    <t xml:space="preserve">S37</t>
  </si>
  <si>
    <t xml:space="preserve">GHR</t>
  </si>
  <si>
    <t xml:space="preserve">La procédure de classement des hôtels de tourisme</t>
  </si>
  <si>
    <t xml:space="preserve">mis à jour le 10/08/2022</t>
  </si>
  <si>
    <t xml:space="preserve">https://www.ghr.fr/reglementation-fiscalite/les-obligations-dans-les-hotels/la-procedure-de-classement-des-hotels-de-tourisme</t>
  </si>
  <si>
    <t xml:space="preserve">S38</t>
  </si>
  <si>
    <t xml:space="preserve">Visite de conformité ERP : incendie et accessibilité</t>
  </si>
  <si>
    <t xml:space="preserve">https://www.keobiz.fr/fiches-pratiques/ouvrir-restaurant-hotel/normes-erp-incendie-accessibilite/</t>
  </si>
  <si>
    <t xml:space="preserve">S39</t>
  </si>
  <si>
    <t xml:space="preserve">Ministère de l'Économie</t>
  </si>
  <si>
    <t xml:space="preserve">Taxe de séjour : quelles sont les règles ? (barème 2026)</t>
  </si>
  <si>
    <t xml:space="preserve">15/01/2026</t>
  </si>
  <si>
    <t xml:space="preserve">https://www.economie.gouv.fr/entreprises/gerer-sa-fiscalite-et-ses-impots/autres-impots-et-taxes/taxe-de-sejour-quelles-sont-les</t>
  </si>
  <si>
    <t xml:space="preserve">S40</t>
  </si>
  <si>
    <t xml:space="preserve">Bpifrance Création</t>
  </si>
  <si>
    <t xml:space="preserve">Garanties bancaires : de quoi s'agit-il ? (garantie Création)</t>
  </si>
  <si>
    <t xml:space="preserve">2025</t>
  </si>
  <si>
    <t xml:space="preserve">https://bpifrance-creation.fr/moment-de-vie/garanties-bancaires-quoi-sagit-il</t>
  </si>
  <si>
    <t xml:space="preserve">S41</t>
  </si>
  <si>
    <t xml:space="preserve">Les garanties bancaires proposées par France Active</t>
  </si>
  <si>
    <t xml:space="preserve">https://bpifrance-creation.fr/encyclopedie/financements/dispositifs-garantie/garanties-bancaires-proposees-france-active</t>
  </si>
  <si>
    <t xml:space="preserve">S42</t>
  </si>
  <si>
    <t xml:space="preserve">SIAGI, fiche les-aides.fr</t>
  </si>
  <si>
    <t xml:space="preserve">Garantie au cas par cas : étude personnalisée</t>
  </si>
  <si>
    <t xml:space="preserve">mis à jour le 10/02/2026</t>
  </si>
  <si>
    <t xml:space="preserve">https://les-aides.fr/aide/cGU_3w/siagi/garantie-au-cas-par-cas-etude-personnalisee.html</t>
  </si>
  <si>
    <t xml:space="preserve">S43</t>
  </si>
  <si>
    <t xml:space="preserve">Bpifrance, fiche les-aides.fr (CCI)</t>
  </si>
  <si>
    <t xml:space="preserve">Prêt Tourisme 3</t>
  </si>
  <si>
    <t xml:space="preserve">mis à jour le 24/08/2026</t>
  </si>
  <si>
    <t xml:space="preserve">https://les-aides.fr/aide/dFVvIEwMDA6P/bpifrance/pret-tourisme-3.html</t>
  </si>
  <si>
    <t xml:space="preserve">S44</t>
  </si>
  <si>
    <t xml:space="preserve">Garantie Transmission Verte</t>
  </si>
  <si>
    <t xml:space="preserve">mis à jour le 19/08/2026</t>
  </si>
  <si>
    <t xml:space="preserve">https://les-aides.fr/aide/EBN_ICwMDA6P/bpifrance/garantie-transmission.html</t>
  </si>
  <si>
    <t xml:space="preserve">S45</t>
  </si>
  <si>
    <t xml:space="preserve">Région Bretagne, fiche les-aides.fr</t>
  </si>
  <si>
    <t xml:space="preserve">PASS Investissement entreprises touristiques : volet travaux</t>
  </si>
  <si>
    <t xml:space="preserve">fiche du 01/12/2022 (à confirmer)</t>
  </si>
  <si>
    <t xml:space="preserve">https://les-aides.fr/aide/YXA_3w/region-bretagne/pass-investissement-entreprises-touristiques-volet-travaux.html</t>
  </si>
  <si>
    <t xml:space="preserve">S46</t>
  </si>
  <si>
    <t xml:space="preserve">AD Normandie</t>
  </si>
  <si>
    <t xml:space="preserve">Règlement Impulsion Développement (annexe tourisme), applicable au 1er janvier 2026</t>
  </si>
  <si>
    <t xml:space="preserve">novembre 2025</t>
  </si>
  <si>
    <t xml:space="preserve">https://adnormandie.fr/wp-content/uploads/2025/11/REGLEMENT-IMP-DEVELOPPEMENT-.pdf</t>
  </si>
  <si>
    <t xml:space="preserve">S47</t>
  </si>
  <si>
    <t xml:space="preserve">Région Pays de la Loire, fiche les-aides.fr</t>
  </si>
  <si>
    <t xml:space="preserve">AGIR Tourisme</t>
  </si>
  <si>
    <t xml:space="preserve">mis à jour le 04/09/2026</t>
  </si>
  <si>
    <t xml:space="preserve">https://les-aides.fr/aide/cCGP3w/region-des-pays-de-la-loire/agir-tourisme.html</t>
  </si>
  <si>
    <t xml:space="preserve">S48</t>
  </si>
  <si>
    <t xml:space="preserve">Région Nouvelle-Aquitaine, fiche les-aides.fr</t>
  </si>
  <si>
    <t xml:space="preserve">Aide à l'hôtellerie indépendante</t>
  </si>
  <si>
    <t xml:space="preserve">mis à jour le 20/08/2026</t>
  </si>
  <si>
    <t xml:space="preserve">https://les-aides.fr/aide/RjNf3w/region-nouvelle-aquitaine/aide-a-l-hotellerie-independante.html</t>
  </si>
  <si>
    <t xml:space="preserve">S49</t>
  </si>
  <si>
    <t xml:space="preserve">BNP Paribas Real Estate</t>
  </si>
  <si>
    <t xml:space="preserve">Review Hôtellerie T2 2026 (performances du 1er semestre 2026)</t>
  </si>
  <si>
    <t xml:space="preserve">septembre 2026</t>
  </si>
  <si>
    <t xml:space="preserve">https://www.realestate.bnpparibas.fr/media/france/2026-09/REVIEW%20HOTELLERIE%20-%20T2%202026_FR.pdf</t>
  </si>
  <si>
    <t xml:space="preserve">S50</t>
  </si>
  <si>
    <t xml:space="preserve">Banque centrale européenne</t>
  </si>
  <si>
    <t xml:space="preserve">Décisions de politique monétaire et projections d'inflation (3,0 % en 2026, 2,5 % en 2027, 2,1 % en 2028)</t>
  </si>
  <si>
    <t xml:space="preserve">10/09/2026</t>
  </si>
  <si>
    <t xml:space="preserve">https://www.ecb.europa.eu/press/pr/date/2026/html/ecb.mp260910~314e508016.en.html</t>
  </si>
  <si>
    <t xml:space="preserve">S51</t>
  </si>
  <si>
    <t xml:space="preserve">Défaillances d'entreprises, juillet 2026 (9 721 en hébergement-restauration sur 12 mois)</t>
  </si>
  <si>
    <t xml:space="preserve">04/09/2026</t>
  </si>
  <si>
    <t xml:space="preserve">https://www.banque-france.fr/fr/statistiques/entreprises/defaillances-dentreprises-2026-07</t>
  </si>
  <si>
    <t xml:space="preserve">S52</t>
  </si>
  <si>
    <t xml:space="preserve">Que regarde la banque pour un prêt professionnel ?</t>
  </si>
  <si>
    <t xml:space="preserve">https://www.metlife.fr/assurance-emprunteur/pret-professionnel/que-regarde-la-banque/</t>
  </si>
  <si>
    <t xml:space="preserve">S54</t>
  </si>
  <si>
    <t xml:space="preserve">CBRE</t>
  </si>
  <si>
    <t xml:space="preserve">Figures Hôtels France, 1er trimestre 2026 (taux de rendement prime : 5,00 % sous bail commercial)</t>
  </si>
  <si>
    <t xml:space="preserve">https://mktgdocs.cbre.com/2299/be26ab5e-2ab1-44ae-95c6-3b706d129436-2109243007/CBRE_Figures_H_tels_France_T1_.pdf</t>
  </si>
  <si>
    <t xml:space="preserve">S53</t>
  </si>
  <si>
    <t xml:space="preserve">CCI de la Vienne</t>
  </si>
  <si>
    <t xml:space="preserve">Permis d'exploiter 2026 (formation de 2,5 jours, 450 € HT)</t>
  </si>
  <si>
    <t xml:space="preserve">mis à jour le 27/05/2026</t>
  </si>
  <si>
    <t xml:space="preserve">https://www.poitiers.cci.fr/wp-content/uploads/2026/05/2026-permis-dexploiter.pdf</t>
  </si>
  <si>
    <t xml:space="preserve">S55</t>
  </si>
  <si>
    <t xml:space="preserve">UFC-Que Choisir</t>
  </si>
  <si>
    <t xml:space="preserve">Immobilier : les frais de notaire augmentent dans l'ancien (7 à 8 % du prix ; droits portés à 6,31 % ; hausse du 01/04/2025 au 31/03/2028)</t>
  </si>
  <si>
    <t xml:space="preserve">18/06/2025</t>
  </si>
  <si>
    <t xml:space="preserve">https://www.quechoisir.org/actualite-immobilier-les-frais-de-notaire-augmentent-dans-l-ancien-n167712/</t>
  </si>
  <si>
    <t xml:space="preserve">S56</t>
  </si>
  <si>
    <t xml:space="preserve">Point de vente</t>
  </si>
  <si>
    <t xml:space="preserve">Les frais cachés lors de l'achat d'un fonds de commerce (intermédiaire : 5 à 10 % du prix ; avocat : 1 à 3 %)</t>
  </si>
  <si>
    <t xml:space="preserve">24/06/2026</t>
  </si>
  <si>
    <t xml:space="preserve">https://www.pointdevente.fr/fr/actualites/les-frais-caches-lors-de-l-achat-d-un-fonds-de-commerce-a658</t>
  </si>
  <si>
    <t xml:space="preserve">S57</t>
  </si>
  <si>
    <t xml:space="preserve">PAP</t>
  </si>
  <si>
    <t xml:space="preserve">Vente immobilière : les frais d'agence, qui paie, quand et combien ? (3 à 10 % du prix, 4 à 5 % au-delà de 500 000 €)</t>
  </si>
  <si>
    <t xml:space="preserve">mis à jour le 13/01/2025</t>
  </si>
  <si>
    <t xml:space="preserve">https://www.pap.fr/vendeur/vendre-sans-agence/vente-immobiliere-les-frais-d-agence-qui-paie-quand-et-combien/a23282</t>
  </si>
  <si>
    <t xml:space="preserve">S58</t>
  </si>
  <si>
    <t xml:space="preserve">L'agent immobilier : les règles qui encadrent la profession (barème affiché, maximum négociable)</t>
  </si>
  <si>
    <t xml:space="preserve">04/08/2023</t>
  </si>
  <si>
    <t xml:space="preserve">https://www.economie.gouv.fr/dgccrf/les-fiches-pratiques/lagent-immobilier-les-regles-qui-encadrent-la-profession</t>
  </si>
  <si>
    <t xml:space="preserve">S59</t>
  </si>
  <si>
    <t xml:space="preserve">Les droits d'enregistrement en cas de reprise (barème du fonds de commerce : 0 %, 3 %, 5 %)</t>
  </si>
  <si>
    <t xml:space="preserve">juillet 2025</t>
  </si>
  <si>
    <t xml:space="preserve">https://bpifrance-creation.fr/encyclopedie/fiscalite-lentreprise/fiscalite-transmissionreprise/droits-denregistrement-cas-reprise</t>
  </si>
  <si>
    <t xml:space="preserve">S60</t>
  </si>
  <si>
    <t xml:space="preserve">Service Public (DILA)</t>
  </si>
  <si>
    <t xml:space="preserve">Frais de notaire : émoluments, débours, droits et taxes (barème des émoluments)</t>
  </si>
  <si>
    <t xml:space="preserve">vérifié le 05/08/2026</t>
  </si>
  <si>
    <t xml:space="preserve">https://www.service-public.gouv.fr/particuliers/vosdroits/F17701</t>
  </si>
  <si>
    <t xml:space="preserve">Données introuvables en source publique (à remplacer par vos propres données) : taux d'occupation et prix des chambres d'hôtes, prix moyen du petit-déjeuner, ticket moyen d'un restaurant, coût du gros œuvre par chambre, effectif par chambre, ratio de couverture de la dette exigé par les banques, taux d'un prêt hôtelier à taux fixe long, honoraires d'agence moyens sur des murs d'hôtel, coût d'un audit d'acquisition.</t>
  </si>
  <si>
    <t xml:space="preserve">Recherche complète : fichier de travail « 08_scenarios_types.md » de West Coast Hospitality. Les observatoires MKG portent surtout sur des hôtels de chaîne ; les gammes MKG ne correspondent pas aux étoiles.</t>
  </si>
</sst>
</file>

<file path=xl/styles.xml><?xml version="1.0" encoding="utf-8"?>
<styleSheet xmlns="http://schemas.openxmlformats.org/spreadsheetml/2006/main">
  <numFmts count="15">
    <numFmt numFmtId="164" formatCode="General"/>
    <numFmt numFmtId="165" formatCode="#,##0;\(#,##0\);\-"/>
    <numFmt numFmtId="166" formatCode="#,##0.0;\(#,##0.0\);\-"/>
    <numFmt numFmtId="167" formatCode="0.0%;\(0.0%\);\-"/>
    <numFmt numFmtId="168" formatCode="#,##0.00&quot; €&quot;;\(#,##0.00&quot; €)&quot;;\-"/>
    <numFmt numFmtId="169" formatCode="0.00;\(0.00\);\-"/>
    <numFmt numFmtId="170" formatCode="#,##0&quot; €&quot;;\(#,##0&quot; €)&quot;;\-"/>
    <numFmt numFmtId="171" formatCode="#,##0&quot; j&quot;"/>
    <numFmt numFmtId="172" formatCode="0.0000"/>
    <numFmt numFmtId="173" formatCode="0.000%;\(0.000%\);\-"/>
    <numFmt numFmtId="174" formatCode="0.00%;\(0.00%\);\-"/>
    <numFmt numFmtId="175" formatCode="0&quot; ans&quot;"/>
    <numFmt numFmtId="176" formatCode="0.00&quot; x&quot;;\(0.00&quot; x)&quot;;\-"/>
    <numFmt numFmtId="177" formatCode="@"/>
    <numFmt numFmtId="178" formatCode="0.0&quot; ans&quot;;\(0.0&quot; ans)&quot;;\-"/>
  </numFmts>
  <fonts count="35">
    <font>
      <sz val="11"/>
      <color theme="1"/>
      <name val="Calibri"/>
      <family val="2"/>
      <charset val="1"/>
    </font>
    <font>
      <sz val="10"/>
      <name val="Arial"/>
      <family val="0"/>
    </font>
    <font>
      <sz val="10"/>
      <name val="Arial"/>
      <family val="0"/>
    </font>
    <font>
      <sz val="10"/>
      <name val="Arial"/>
      <family val="0"/>
    </font>
    <font>
      <sz val="11"/>
      <color theme="1"/>
      <name val="Arial"/>
      <family val="2"/>
      <charset val="1"/>
    </font>
    <font>
      <b val="true"/>
      <sz val="10"/>
      <color rgb="FF8A6A2F"/>
      <name val="Arial"/>
      <family val="0"/>
      <charset val="1"/>
    </font>
    <font>
      <b val="true"/>
      <sz val="18"/>
      <color rgb="FF09182E"/>
      <name val="Arial"/>
      <family val="0"/>
      <charset val="1"/>
    </font>
    <font>
      <sz val="11"/>
      <color rgb="FF4F5D70"/>
      <name val="Arial"/>
      <family val="0"/>
      <charset val="1"/>
    </font>
    <font>
      <b val="true"/>
      <sz val="10"/>
      <color rgb="FFFFFFFF"/>
      <name val="Arial"/>
      <family val="0"/>
      <charset val="1"/>
    </font>
    <font>
      <b val="true"/>
      <sz val="10"/>
      <color rgb="FF09182E"/>
      <name val="Arial"/>
      <family val="0"/>
      <charset val="1"/>
    </font>
    <font>
      <sz val="10"/>
      <name val="Arial"/>
      <family val="0"/>
      <charset val="1"/>
    </font>
    <font>
      <b val="true"/>
      <sz val="16"/>
      <color rgb="FF09182E"/>
      <name val="Arial"/>
      <family val="0"/>
      <charset val="1"/>
    </font>
    <font>
      <sz val="10"/>
      <color rgb="FF4F5D70"/>
      <name val="Arial"/>
      <family val="0"/>
      <charset val="1"/>
    </font>
    <font>
      <i val="true"/>
      <sz val="9"/>
      <color rgb="FF8A6A2F"/>
      <name val="Arial"/>
      <family val="0"/>
      <charset val="1"/>
    </font>
    <font>
      <sz val="10"/>
      <color rgb="FF0000FF"/>
      <name val="Arial"/>
      <family val="0"/>
      <charset val="1"/>
    </font>
    <font>
      <sz val="9"/>
      <color rgb="FF4F5D70"/>
      <name val="Arial"/>
      <family val="0"/>
      <charset val="1"/>
    </font>
    <font>
      <b val="true"/>
      <sz val="11"/>
      <color rgb="FF8A6A2F"/>
      <name val="Arial"/>
      <family val="0"/>
      <charset val="1"/>
    </font>
    <font>
      <b val="true"/>
      <sz val="9"/>
      <color rgb="FFFFFFFF"/>
      <name val="Arial"/>
      <family val="0"/>
      <charset val="1"/>
    </font>
    <font>
      <b val="true"/>
      <sz val="9"/>
      <color rgb="FF8A6A2F"/>
      <name val="Arial"/>
      <family val="0"/>
      <charset val="1"/>
    </font>
    <font>
      <b val="true"/>
      <sz val="9"/>
      <color rgb="FF09182E"/>
      <name val="Arial"/>
      <family val="0"/>
      <charset val="1"/>
    </font>
    <font>
      <i val="true"/>
      <sz val="9"/>
      <color rgb="FF4F5D70"/>
      <name val="Arial"/>
      <family val="0"/>
      <charset val="1"/>
    </font>
    <font>
      <sz val="10"/>
      <color rgb="FF000000"/>
      <name val="Arial"/>
      <family val="0"/>
      <charset val="1"/>
    </font>
    <font>
      <b val="true"/>
      <sz val="10"/>
      <name val="Arial"/>
      <family val="0"/>
      <charset val="1"/>
    </font>
    <font>
      <b val="true"/>
      <sz val="9"/>
      <color rgb="FF2F7A55"/>
      <name val="Arial"/>
      <family val="0"/>
      <charset val="1"/>
    </font>
    <font>
      <i val="true"/>
      <sz val="10"/>
      <color rgb="FF4F5D70"/>
      <name val="Arial"/>
      <family val="0"/>
      <charset val="1"/>
    </font>
    <font>
      <sz val="8"/>
      <color rgb="FF4F5D70"/>
      <name val="Arial"/>
      <family val="0"/>
      <charset val="1"/>
    </font>
    <font>
      <i val="true"/>
      <sz val="10"/>
      <name val="Arial"/>
      <family val="0"/>
      <charset val="1"/>
    </font>
    <font>
      <sz val="10"/>
      <color rgb="FF008000"/>
      <name val="Arial"/>
      <family val="0"/>
      <charset val="1"/>
    </font>
    <font>
      <b val="true"/>
      <sz val="10"/>
      <color rgb="FF000000"/>
      <name val="Arial"/>
      <family val="0"/>
      <charset val="1"/>
    </font>
    <font>
      <b val="true"/>
      <sz val="10"/>
      <color rgb="FF008000"/>
      <name val="Arial"/>
      <family val="0"/>
      <charset val="1"/>
    </font>
    <font>
      <b val="true"/>
      <sz val="9.5"/>
      <color rgb="FF09182E"/>
      <name val="Arial"/>
      <family val="0"/>
      <charset val="1"/>
    </font>
    <font>
      <sz val="9.5"/>
      <name val="Arial"/>
      <family val="0"/>
      <charset val="1"/>
    </font>
    <font>
      <sz val="9"/>
      <color rgb="FF8A6A2F"/>
      <name val="Arial"/>
      <family val="0"/>
      <charset val="1"/>
    </font>
    <font>
      <sz val="9"/>
      <color rgb="FF000000"/>
      <name val="Arial"/>
      <family val="0"/>
      <charset val="1"/>
    </font>
    <font>
      <u val="single"/>
      <sz val="9"/>
      <color rgb="FF0563C1"/>
      <name val="Arial"/>
      <family val="0"/>
      <charset val="1"/>
    </font>
  </fonts>
  <fills count="4">
    <fill>
      <patternFill patternType="none"/>
    </fill>
    <fill>
      <patternFill patternType="gray125"/>
    </fill>
    <fill>
      <patternFill patternType="solid">
        <fgColor rgb="FF09182E"/>
        <bgColor rgb="FF000000"/>
      </patternFill>
    </fill>
    <fill>
      <patternFill patternType="solid">
        <fgColor rgb="FFFFF3D6"/>
        <bgColor rgb="FFFFFFFF"/>
      </patternFill>
    </fill>
  </fills>
  <borders count="8">
    <border diagonalUp="false" diagonalDown="false">
      <left/>
      <right/>
      <top/>
      <bottom/>
      <diagonal/>
    </border>
    <border diagonalUp="false" diagonalDown="false">
      <left/>
      <right/>
      <top style="thin">
        <color rgb="FFC9A96A"/>
      </top>
      <bottom/>
      <diagonal/>
    </border>
    <border diagonalUp="false" diagonalDown="false">
      <left style="thin">
        <color rgb="FFC9A96A"/>
      </left>
      <right style="thin">
        <color rgb="FFC9A96A"/>
      </right>
      <top style="thin">
        <color rgb="FFC9A96A"/>
      </top>
      <bottom style="thin">
        <color rgb="FFC9A96A"/>
      </bottom>
      <diagonal/>
    </border>
    <border diagonalUp="false" diagonalDown="false">
      <left/>
      <right/>
      <top/>
      <bottom style="thin">
        <color rgb="FFC9A96A"/>
      </bottom>
      <diagonal/>
    </border>
    <border diagonalUp="false" diagonalDown="false">
      <left/>
      <right/>
      <top/>
      <bottom style="thin">
        <color rgb="FFD9D2C2"/>
      </bottom>
      <diagonal/>
    </border>
    <border diagonalUp="false" diagonalDown="false">
      <left style="thin">
        <color rgb="FFC9A96A"/>
      </left>
      <right style="thin">
        <color rgb="FFC9A96A"/>
      </right>
      <top style="thin">
        <color rgb="FFC9A96A"/>
      </top>
      <bottom style="thin">
        <color rgb="FFD9D2C2"/>
      </bottom>
      <diagonal/>
    </border>
    <border diagonalUp="false" diagonalDown="false">
      <left/>
      <right/>
      <top style="medium">
        <color rgb="FF09182E"/>
      </top>
      <bottom/>
      <diagonal/>
    </border>
    <border diagonalUp="false" diagonalDown="false">
      <left/>
      <right/>
      <top style="medium">
        <color rgb="FF09182E"/>
      </top>
      <bottom style="thin">
        <color rgb="FFD9D2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true" applyAlignment="true" applyProtection="false">
      <alignment horizontal="general" vertical="center" textRotation="0" wrapText="true" indent="1" shrinkToFit="false"/>
      <protection locked="true" hidden="false"/>
    </xf>
    <xf numFmtId="164" fontId="9" fillId="0"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4" fillId="3" borderId="2"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center" textRotation="0" wrapText="true" indent="0" shrinkToFit="false"/>
      <protection locked="true" hidden="false"/>
    </xf>
    <xf numFmtId="164" fontId="16" fillId="0" borderId="3" xfId="0" applyFont="true" applyBorder="true" applyAlignment="false" applyProtection="false">
      <alignment horizontal="general" vertical="bottom" textRotation="0" wrapText="false" indent="0" shrinkToFit="false"/>
      <protection locked="true" hidden="false"/>
    </xf>
    <xf numFmtId="164" fontId="4" fillId="0" borderId="3" xfId="0" applyFont="true" applyBorder="true" applyAlignment="false" applyProtection="false">
      <alignment horizontal="general" vertical="bottom" textRotation="0" wrapText="false" indent="0" shrinkToFit="false"/>
      <protection locked="true" hidden="false"/>
    </xf>
    <xf numFmtId="164" fontId="17" fillId="2" borderId="0" xfId="0" applyFont="true" applyBorder="false" applyAlignment="true" applyProtection="false">
      <alignment horizontal="left" vertical="center" textRotation="0" wrapText="true" indent="0" shrinkToFit="false"/>
      <protection locked="true" hidden="false"/>
    </xf>
    <xf numFmtId="164" fontId="17" fillId="2" borderId="0" xfId="0" applyFont="true" applyBorder="false" applyAlignment="true" applyProtection="false">
      <alignment horizontal="center" vertical="center" textRotation="0" wrapText="true" indent="0" shrinkToFit="false"/>
      <protection locked="true" hidden="false"/>
    </xf>
    <xf numFmtId="164" fontId="17" fillId="2" borderId="0"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true" applyProtection="false">
      <alignment horizontal="general" vertical="center" textRotation="0" wrapText="true" indent="0" shrinkToFit="false"/>
      <protection locked="true" hidden="false"/>
    </xf>
    <xf numFmtId="165" fontId="14" fillId="3" borderId="5" xfId="0" applyFont="true" applyBorder="true" applyAlignment="true" applyProtection="false">
      <alignment horizontal="right" vertical="center" textRotation="0" wrapText="false" indent="0" shrinkToFit="false"/>
      <protection locked="true" hidden="false"/>
    </xf>
    <xf numFmtId="164" fontId="15" fillId="0" borderId="4" xfId="0" applyFont="true" applyBorder="true" applyAlignment="true" applyProtection="false">
      <alignment horizontal="general" vertical="center" textRotation="0" wrapText="true" indent="0" shrinkToFit="false"/>
      <protection locked="true" hidden="false"/>
    </xf>
    <xf numFmtId="164" fontId="18" fillId="0" borderId="4" xfId="0" applyFont="true" applyBorder="true" applyAlignment="true" applyProtection="false">
      <alignment horizontal="general" vertical="center" textRotation="0" wrapText="true" indent="0" shrinkToFit="false"/>
      <protection locked="true" hidden="false"/>
    </xf>
    <xf numFmtId="166" fontId="14" fillId="3" borderId="5" xfId="0" applyFont="true" applyBorder="true" applyAlignment="true" applyProtection="false">
      <alignment horizontal="right" vertical="center" textRotation="0" wrapText="false" indent="0" shrinkToFit="false"/>
      <protection locked="true" hidden="false"/>
    </xf>
    <xf numFmtId="167" fontId="14" fillId="3" borderId="5" xfId="0" applyFont="true" applyBorder="true" applyAlignment="true" applyProtection="false">
      <alignment horizontal="right" vertical="center" textRotation="0" wrapText="false" indent="0" shrinkToFit="false"/>
      <protection locked="true" hidden="false"/>
    </xf>
    <xf numFmtId="168" fontId="14" fillId="3" borderId="5" xfId="0" applyFont="true" applyBorder="true" applyAlignment="true" applyProtection="false">
      <alignment horizontal="right" vertical="center" textRotation="0" wrapText="false" indent="0" shrinkToFit="false"/>
      <protection locked="true" hidden="false"/>
    </xf>
    <xf numFmtId="169" fontId="14" fillId="3" borderId="5" xfId="0" applyFont="true" applyBorder="true" applyAlignment="true" applyProtection="false">
      <alignment horizontal="right" vertical="center" textRotation="0" wrapText="false" indent="0" shrinkToFit="false"/>
      <protection locked="true" hidden="false"/>
    </xf>
    <xf numFmtId="164" fontId="19" fillId="0" borderId="4" xfId="0" applyFont="true" applyBorder="true" applyAlignment="true" applyProtection="false">
      <alignment horizontal="general" vertical="center" textRotation="0" wrapText="tru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4" fillId="0" borderId="4" xfId="0" applyFont="true" applyBorder="true" applyAlignment="false" applyProtection="false">
      <alignment horizontal="general" vertical="bottom" textRotation="0" wrapText="false" indent="0" shrinkToFit="false"/>
      <protection locked="true" hidden="false"/>
    </xf>
    <xf numFmtId="165" fontId="14" fillId="3" borderId="4" xfId="0" applyFont="true" applyBorder="true" applyAlignment="true" applyProtection="false">
      <alignment horizontal="right" vertical="bottom" textRotation="0" wrapText="false" indent="0" shrinkToFit="false"/>
      <protection locked="true" hidden="false"/>
    </xf>
    <xf numFmtId="164" fontId="14" fillId="3" borderId="4" xfId="0" applyFont="true" applyBorder="true" applyAlignment="true" applyProtection="false">
      <alignment horizontal="right" vertical="bottom" textRotation="0" wrapText="false" indent="0" shrinkToFit="false"/>
      <protection locked="true" hidden="false"/>
    </xf>
    <xf numFmtId="167" fontId="14" fillId="3" borderId="4" xfId="0" applyFont="true" applyBorder="true" applyAlignment="true" applyProtection="false">
      <alignment horizontal="right" vertical="bottom" textRotation="0" wrapText="false" indent="0" shrinkToFit="false"/>
      <protection locked="true" hidden="false"/>
    </xf>
    <xf numFmtId="169" fontId="4" fillId="0" borderId="4" xfId="0" applyFont="true" applyBorder="true" applyAlignment="true" applyProtection="false">
      <alignment horizontal="right" vertical="bottom" textRotation="0" wrapText="false" indent="0" shrinkToFit="false"/>
      <protection locked="true" hidden="false"/>
    </xf>
    <xf numFmtId="169" fontId="14" fillId="3" borderId="4" xfId="0" applyFont="true" applyBorder="true" applyAlignment="true" applyProtection="false">
      <alignment horizontal="right" vertical="bottom" textRotation="0" wrapText="false" indent="0" shrinkToFit="false"/>
      <protection locked="true" hidden="false"/>
    </xf>
    <xf numFmtId="167" fontId="4" fillId="0" borderId="4" xfId="0" applyFont="true" applyBorder="true" applyAlignment="true" applyProtection="false">
      <alignment horizontal="right" vertical="bottom" textRotation="0" wrapText="false" indent="0" shrinkToFit="false"/>
      <protection locked="true" hidden="false"/>
    </xf>
    <xf numFmtId="165" fontId="4" fillId="0" borderId="4" xfId="0" applyFont="true" applyBorder="true" applyAlignment="true" applyProtection="false">
      <alignment horizontal="right" vertical="bottom" textRotation="0" wrapText="false" indent="0" shrinkToFit="false"/>
      <protection locked="true" hidden="false"/>
    </xf>
    <xf numFmtId="168" fontId="4" fillId="0" borderId="4" xfId="0" applyFont="true" applyBorder="true" applyAlignment="true" applyProtection="false">
      <alignment horizontal="right" vertical="bottom" textRotation="0" wrapText="false" indent="0" shrinkToFit="false"/>
      <protection locked="true" hidden="false"/>
    </xf>
    <xf numFmtId="170" fontId="4" fillId="0" borderId="4" xfId="0" applyFont="true" applyBorder="true" applyAlignment="true" applyProtection="false">
      <alignment horizontal="right" vertical="bottom" textRotation="0" wrapText="false" indent="0" shrinkToFit="false"/>
      <protection locked="true" hidden="false"/>
    </xf>
    <xf numFmtId="164" fontId="9" fillId="0" borderId="6" xfId="0" applyFont="true" applyBorder="true" applyAlignment="false" applyProtection="false">
      <alignment horizontal="general" vertical="bottom" textRotation="0" wrapText="false" indent="0" shrinkToFit="false"/>
      <protection locked="true" hidden="false"/>
    </xf>
    <xf numFmtId="165" fontId="9" fillId="0" borderId="6" xfId="0" applyFont="true" applyBorder="true" applyAlignment="false" applyProtection="false">
      <alignment horizontal="general" vertical="bottom" textRotation="0" wrapText="false" indent="0" shrinkToFit="false"/>
      <protection locked="true" hidden="false"/>
    </xf>
    <xf numFmtId="171" fontId="9" fillId="0" borderId="6" xfId="0" applyFont="true" applyBorder="true" applyAlignment="false" applyProtection="false">
      <alignment horizontal="general" vertical="bottom" textRotation="0" wrapText="false" indent="0" shrinkToFit="false"/>
      <protection locked="true" hidden="false"/>
    </xf>
    <xf numFmtId="167" fontId="9" fillId="0" borderId="6" xfId="0" applyFont="true" applyBorder="true" applyAlignment="false" applyProtection="false">
      <alignment horizontal="general" vertical="bottom" textRotation="0" wrapText="false" indent="0" shrinkToFit="false"/>
      <protection locked="true" hidden="false"/>
    </xf>
    <xf numFmtId="168" fontId="9" fillId="0" borderId="6" xfId="0" applyFont="true" applyBorder="true" applyAlignment="false" applyProtection="false">
      <alignment horizontal="general" vertical="bottom" textRotation="0" wrapText="false" indent="0" shrinkToFit="false"/>
      <protection locked="true" hidden="false"/>
    </xf>
    <xf numFmtId="170" fontId="9" fillId="0" borderId="6"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72" fontId="4" fillId="0" borderId="0" xfId="0" applyFont="true" applyBorder="false" applyAlignment="false" applyProtection="false">
      <alignment horizontal="general" vertical="bottom" textRotation="0" wrapText="false" indent="0" shrinkToFit="false"/>
      <protection locked="true" hidden="false"/>
    </xf>
    <xf numFmtId="165" fontId="21" fillId="0" borderId="4" xfId="0" applyFont="true" applyBorder="true" applyAlignment="true" applyProtection="false">
      <alignment horizontal="right" vertical="center" textRotation="0" wrapText="false" indent="0" shrinkToFit="false"/>
      <protection locked="true" hidden="false"/>
    </xf>
    <xf numFmtId="167" fontId="21" fillId="0" borderId="4" xfId="0" applyFont="true" applyBorder="true" applyAlignment="true" applyProtection="false">
      <alignment horizontal="right" vertical="center" textRotation="0" wrapText="false" indent="0" shrinkToFit="false"/>
      <protection locked="true" hidden="false"/>
    </xf>
    <xf numFmtId="168" fontId="21" fillId="0" borderId="4" xfId="0" applyFont="true" applyBorder="true" applyAlignment="true" applyProtection="false">
      <alignment horizontal="right" vertical="center" textRotation="0" wrapText="false" indent="0" shrinkToFit="false"/>
      <protection locked="true" hidden="false"/>
    </xf>
    <xf numFmtId="170" fontId="21" fillId="0" borderId="4" xfId="0" applyFont="true" applyBorder="true" applyAlignment="true" applyProtection="false">
      <alignment horizontal="right" vertical="center" textRotation="0" wrapText="false" indent="0" shrinkToFit="false"/>
      <protection locked="true" hidden="false"/>
    </xf>
    <xf numFmtId="170" fontId="22" fillId="0" borderId="4" xfId="0" applyFont="true" applyBorder="true" applyAlignment="true" applyProtection="false">
      <alignment horizontal="right" vertical="center" textRotation="0" wrapText="false" indent="0" shrinkToFit="false"/>
      <protection locked="true" hidden="false"/>
    </xf>
    <xf numFmtId="164" fontId="23" fillId="0" borderId="4" xfId="0" applyFont="true" applyBorder="true" applyAlignment="true" applyProtection="false">
      <alignment horizontal="general" vertical="center" textRotation="0" wrapText="true" indent="0" shrinkToFit="false"/>
      <protection locked="true" hidden="false"/>
    </xf>
    <xf numFmtId="170" fontId="14" fillId="3" borderId="5" xfId="0" applyFont="true" applyBorder="true" applyAlignment="true" applyProtection="false">
      <alignment horizontal="right" vertical="center" textRotation="0" wrapText="false" indent="0" shrinkToFit="false"/>
      <protection locked="true" hidden="false"/>
    </xf>
    <xf numFmtId="173" fontId="14" fillId="3" borderId="5" xfId="0" applyFont="true" applyBorder="true" applyAlignment="true" applyProtection="false">
      <alignment horizontal="right" vertical="center" textRotation="0" wrapText="false" indent="0" shrinkToFit="false"/>
      <protection locked="true" hidden="false"/>
    </xf>
    <xf numFmtId="174" fontId="14" fillId="3" borderId="5" xfId="0" applyFont="true" applyBorder="true" applyAlignment="true" applyProtection="false">
      <alignment horizontal="right" vertical="center" textRotation="0" wrapText="false" indent="0" shrinkToFit="false"/>
      <protection locked="true" hidden="false"/>
    </xf>
    <xf numFmtId="174" fontId="21" fillId="0" borderId="4" xfId="0" applyFont="true" applyBorder="true" applyAlignment="true" applyProtection="false">
      <alignment horizontal="right" vertical="center" textRotation="0" wrapText="false" indent="0" shrinkToFit="false"/>
      <protection locked="true" hidden="false"/>
    </xf>
    <xf numFmtId="164" fontId="24" fillId="0" borderId="4" xfId="0" applyFont="true" applyBorder="true" applyAlignment="false" applyProtection="false">
      <alignment horizontal="general" vertical="bottom" textRotation="0" wrapText="false" indent="0" shrinkToFit="false"/>
      <protection locked="true" hidden="false"/>
    </xf>
    <xf numFmtId="164" fontId="25" fillId="0" borderId="4" xfId="0" applyFont="true" applyBorder="true" applyAlignment="true" applyProtection="false">
      <alignment horizontal="general" vertical="center" textRotation="0" wrapText="true" indent="0" shrinkToFit="false"/>
      <protection locked="true" hidden="false"/>
    </xf>
    <xf numFmtId="165" fontId="26" fillId="0" borderId="4" xfId="0" applyFont="true" applyBorder="true" applyAlignment="false" applyProtection="false">
      <alignment horizontal="general" vertical="bottom" textRotation="0" wrapText="false" indent="0" shrinkToFit="false"/>
      <protection locked="true" hidden="false"/>
    </xf>
    <xf numFmtId="164" fontId="21" fillId="0" borderId="4" xfId="0" applyFont="true" applyBorder="true" applyAlignment="false" applyProtection="false">
      <alignment horizontal="general" vertical="bottom" textRotation="0" wrapText="false" indent="0" shrinkToFit="false"/>
      <protection locked="true" hidden="false"/>
    </xf>
    <xf numFmtId="167" fontId="10" fillId="0" borderId="4" xfId="0" applyFont="true" applyBorder="true" applyAlignment="false" applyProtection="false">
      <alignment horizontal="general" vertical="bottom" textRotation="0" wrapText="false" indent="0" shrinkToFit="false"/>
      <protection locked="true" hidden="false"/>
    </xf>
    <xf numFmtId="169" fontId="10" fillId="0" borderId="4" xfId="0" applyFont="true" applyBorder="true" applyAlignment="false" applyProtection="false">
      <alignment horizontal="general" vertical="bottom" textRotation="0" wrapText="false" indent="0" shrinkToFit="false"/>
      <protection locked="true" hidden="false"/>
    </xf>
    <xf numFmtId="165" fontId="10" fillId="0" borderId="4" xfId="0" applyFont="true" applyBorder="true" applyAlignment="false" applyProtection="false">
      <alignment horizontal="general" vertical="bottom" textRotation="0" wrapText="false" indent="0" shrinkToFit="false"/>
      <protection locked="true" hidden="false"/>
    </xf>
    <xf numFmtId="168" fontId="10" fillId="0" borderId="4" xfId="0" applyFont="true" applyBorder="true" applyAlignment="false" applyProtection="false">
      <alignment horizontal="general" vertical="bottom" textRotation="0" wrapText="false" indent="0" shrinkToFit="false"/>
      <protection locked="true" hidden="false"/>
    </xf>
    <xf numFmtId="170" fontId="10" fillId="0" borderId="4" xfId="0" applyFont="true" applyBorder="true" applyAlignment="false" applyProtection="false">
      <alignment horizontal="general" vertical="bottom" textRotation="0" wrapText="false" indent="0" shrinkToFit="false"/>
      <protection locked="true" hidden="false"/>
    </xf>
    <xf numFmtId="164" fontId="9" fillId="0" borderId="7" xfId="0" applyFont="true" applyBorder="true" applyAlignment="false" applyProtection="false">
      <alignment horizontal="general" vertical="bottom" textRotation="0" wrapText="false" indent="0" shrinkToFit="false"/>
      <protection locked="true" hidden="false"/>
    </xf>
    <xf numFmtId="164" fontId="25" fillId="0" borderId="7" xfId="0" applyFont="true" applyBorder="true" applyAlignment="true" applyProtection="false">
      <alignment horizontal="general" vertical="center" textRotation="0" wrapText="true" indent="0" shrinkToFit="false"/>
      <protection locked="true" hidden="false"/>
    </xf>
    <xf numFmtId="170" fontId="22" fillId="0" borderId="7" xfId="0" applyFont="true" applyBorder="true" applyAlignment="false" applyProtection="false">
      <alignment horizontal="general" vertical="bottom" textRotation="0" wrapText="false" indent="0" shrinkToFit="false"/>
      <protection locked="true" hidden="false"/>
    </xf>
    <xf numFmtId="167" fontId="26" fillId="0" borderId="4" xfId="0" applyFont="true" applyBorder="true" applyAlignment="false" applyProtection="false">
      <alignment horizontal="general" vertical="bottom" textRotation="0" wrapText="false" indent="0" shrinkToFit="false"/>
      <protection locked="true" hidden="false"/>
    </xf>
    <xf numFmtId="170" fontId="26" fillId="0" borderId="4"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true" applyAlignment="true" applyProtection="false">
      <alignment horizontal="general" vertical="bottom" textRotation="0" wrapText="true" indent="0" shrinkToFit="false"/>
      <protection locked="true" hidden="false"/>
    </xf>
    <xf numFmtId="170" fontId="27" fillId="0" borderId="4" xfId="0" applyFont="true" applyBorder="true" applyAlignment="true" applyProtection="false">
      <alignment horizontal="right" vertical="center" textRotation="0" wrapText="false" indent="0" shrinkToFit="false"/>
      <protection locked="true" hidden="false"/>
    </xf>
    <xf numFmtId="164" fontId="9" fillId="0" borderId="7" xfId="0" applyFont="true" applyBorder="true" applyAlignment="true" applyProtection="false">
      <alignment horizontal="general" vertical="center" textRotation="0" wrapText="true" indent="0" shrinkToFit="false"/>
      <protection locked="true" hidden="false"/>
    </xf>
    <xf numFmtId="170" fontId="28" fillId="0" borderId="7" xfId="0" applyFont="true" applyBorder="true" applyAlignment="true" applyProtection="false">
      <alignment horizontal="right" vertical="center" textRotation="0" wrapText="false" indent="0" shrinkToFit="false"/>
      <protection locked="true" hidden="false"/>
    </xf>
    <xf numFmtId="164" fontId="15" fillId="0" borderId="7" xfId="0" applyFont="true" applyBorder="true" applyAlignment="true" applyProtection="false">
      <alignment horizontal="general" vertical="center" textRotation="0" wrapText="true" indent="0" shrinkToFit="false"/>
      <protection locked="true" hidden="false"/>
    </xf>
    <xf numFmtId="175" fontId="27" fillId="0" borderId="4" xfId="0" applyFont="true" applyBorder="true" applyAlignment="true" applyProtection="false">
      <alignment horizontal="right" vertical="center" textRotation="0" wrapText="false" indent="0" shrinkToFit="false"/>
      <protection locked="true" hidden="false"/>
    </xf>
    <xf numFmtId="164" fontId="15" fillId="0" borderId="0" xfId="0" applyFont="true" applyBorder="false" applyAlignment="true" applyProtection="false">
      <alignment horizontal="right" vertical="bottom" textRotation="0" wrapText="false" indent="0" shrinkToFit="false"/>
      <protection locked="true" hidden="false"/>
    </xf>
    <xf numFmtId="164" fontId="9" fillId="0" borderId="4" xfId="0" applyFont="true" applyBorder="true" applyAlignment="false" applyProtection="false">
      <alignment horizontal="general" vertical="bottom" textRotation="0" wrapText="false" indent="0" shrinkToFit="false"/>
      <protection locked="true" hidden="false"/>
    </xf>
    <xf numFmtId="170" fontId="4" fillId="0" borderId="4" xfId="0" applyFont="true" applyBorder="true" applyAlignment="false" applyProtection="false">
      <alignment horizontal="general" vertical="bottom" textRotation="0" wrapText="false" indent="0" shrinkToFit="false"/>
      <protection locked="true" hidden="false"/>
    </xf>
    <xf numFmtId="164" fontId="4" fillId="0" borderId="6" xfId="0" applyFont="true" applyBorder="true" applyAlignment="false" applyProtection="false">
      <alignment horizontal="general" vertical="bottom" textRotation="0" wrapText="false" indent="0" shrinkToFit="false"/>
      <protection locked="true" hidden="false"/>
    </xf>
    <xf numFmtId="170" fontId="22" fillId="0" borderId="6" xfId="0" applyFont="true" applyBorder="true" applyAlignment="false" applyProtection="false">
      <alignment horizontal="general" vertical="bottom" textRotation="0" wrapText="false" indent="0" shrinkToFit="false"/>
      <protection locked="true" hidden="false"/>
    </xf>
    <xf numFmtId="164" fontId="9" fillId="0" borderId="4" xfId="0" applyFont="true" applyBorder="true" applyAlignment="true" applyProtection="false">
      <alignment horizontal="general" vertical="center" textRotation="0" wrapText="true" indent="0" shrinkToFit="false"/>
      <protection locked="true" hidden="false"/>
    </xf>
    <xf numFmtId="170" fontId="29" fillId="0" borderId="4" xfId="0" applyFont="true" applyBorder="true" applyAlignment="true" applyProtection="false">
      <alignment horizontal="right" vertical="center" textRotation="0" wrapText="false" indent="0" shrinkToFit="false"/>
      <protection locked="true" hidden="false"/>
    </xf>
    <xf numFmtId="167" fontId="27" fillId="0" borderId="4" xfId="0" applyFont="true" applyBorder="true" applyAlignment="true" applyProtection="false">
      <alignment horizontal="right" vertical="center" textRotation="0" wrapText="false" indent="0" shrinkToFit="false"/>
      <protection locked="true" hidden="false"/>
    </xf>
    <xf numFmtId="176" fontId="28" fillId="0" borderId="4" xfId="0" applyFont="true" applyBorder="true" applyAlignment="true" applyProtection="false">
      <alignment horizontal="right" vertical="center" textRotation="0" wrapText="false" indent="0" shrinkToFit="false"/>
      <protection locked="true" hidden="false"/>
    </xf>
    <xf numFmtId="176" fontId="21" fillId="0" borderId="4" xfId="0" applyFont="true" applyBorder="true" applyAlignment="true" applyProtection="false">
      <alignment horizontal="right" vertical="center" textRotation="0" wrapText="false" indent="0" shrinkToFit="false"/>
      <protection locked="true" hidden="false"/>
    </xf>
    <xf numFmtId="167" fontId="28" fillId="0" borderId="4" xfId="0" applyFont="true" applyBorder="true" applyAlignment="true" applyProtection="false">
      <alignment horizontal="right" vertical="center" textRotation="0" wrapText="false" indent="0" shrinkToFit="false"/>
      <protection locked="true" hidden="false"/>
    </xf>
    <xf numFmtId="176" fontId="22" fillId="0" borderId="4" xfId="0" applyFont="true" applyBorder="true" applyAlignment="false" applyProtection="false">
      <alignment horizontal="general" vertical="bottom" textRotation="0" wrapText="false" indent="0" shrinkToFit="false"/>
      <protection locked="true" hidden="false"/>
    </xf>
    <xf numFmtId="176" fontId="10" fillId="0" borderId="4" xfId="0" applyFont="true" applyBorder="true" applyAlignment="false" applyProtection="false">
      <alignment horizontal="general" vertical="bottom" textRotation="0" wrapText="false" indent="0" shrinkToFit="false"/>
      <protection locked="true" hidden="false"/>
    </xf>
    <xf numFmtId="177" fontId="10" fillId="0" borderId="4" xfId="0" applyFont="true" applyBorder="true" applyAlignment="true" applyProtection="false">
      <alignment horizontal="right" vertical="bottom" textRotation="0" wrapText="false" indent="0" shrinkToFit="false"/>
      <protection locked="true" hidden="false"/>
    </xf>
    <xf numFmtId="170" fontId="22" fillId="0" borderId="4" xfId="0" applyFont="true" applyBorder="true" applyAlignment="false" applyProtection="false">
      <alignment horizontal="general" vertical="bottom" textRotation="0" wrapText="false" indent="0" shrinkToFit="false"/>
      <protection locked="true" hidden="false"/>
    </xf>
    <xf numFmtId="178" fontId="28" fillId="0" borderId="4" xfId="0" applyFont="true" applyBorder="true" applyAlignment="true" applyProtection="false">
      <alignment horizontal="right" vertical="center" textRotation="0" wrapText="false" indent="0" shrinkToFit="false"/>
      <protection locked="true" hidden="false"/>
    </xf>
    <xf numFmtId="175" fontId="28" fillId="0" borderId="4" xfId="0" applyFont="true" applyBorder="true" applyAlignment="true" applyProtection="false">
      <alignment horizontal="right" vertical="bottom" textRotation="0" wrapText="fals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true" applyAlignment="false" applyProtection="false">
      <alignment horizontal="general" vertical="bottom" textRotation="0" wrapText="false" indent="0" shrinkToFit="false"/>
      <protection locked="true" hidden="false"/>
    </xf>
    <xf numFmtId="164" fontId="30" fillId="0" borderId="4" xfId="0" applyFont="true" applyBorder="true" applyAlignment="true" applyProtection="false">
      <alignment horizontal="general" vertical="top" textRotation="0" wrapText="true" indent="0" shrinkToFit="false"/>
      <protection locked="true" hidden="false"/>
    </xf>
    <xf numFmtId="164" fontId="31" fillId="0" borderId="4" xfId="0" applyFont="true" applyBorder="true" applyAlignment="true" applyProtection="false">
      <alignment horizontal="general" vertical="top" textRotation="0" wrapText="true" indent="0" shrinkToFit="false"/>
      <protection locked="true" hidden="false"/>
    </xf>
    <xf numFmtId="164" fontId="32" fillId="0" borderId="4" xfId="0" applyFont="true" applyBorder="true" applyAlignment="true" applyProtection="false">
      <alignment horizontal="general" vertical="top" textRotation="0" wrapText="true" indent="0" shrinkToFit="false"/>
      <protection locked="true" hidden="false"/>
    </xf>
    <xf numFmtId="164" fontId="18" fillId="0" borderId="4" xfId="0" applyFont="true" applyBorder="true" applyAlignment="true" applyProtection="false">
      <alignment horizontal="general" vertical="top" textRotation="0" wrapText="true" indent="0" shrinkToFit="false"/>
      <protection locked="true" hidden="false"/>
    </xf>
    <xf numFmtId="164" fontId="33" fillId="0" borderId="4" xfId="0" applyFont="true" applyBorder="true" applyAlignment="true" applyProtection="false">
      <alignment horizontal="general" vertical="top" textRotation="0" wrapText="true" indent="0" shrinkToFit="false"/>
      <protection locked="true" hidden="false"/>
    </xf>
    <xf numFmtId="164" fontId="34" fillId="0" borderId="4"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A6A2F"/>
      <rgbColor rgb="FF800080"/>
      <rgbColor rgb="FF008080"/>
      <rgbColor rgb="FFD9D2C2"/>
      <rgbColor rgb="FF808080"/>
      <rgbColor rgb="FF9999FF"/>
      <rgbColor rgb="FF993366"/>
      <rgbColor rgb="FFFFF3D6"/>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F5D70"/>
      <rgbColor rgb="FFC9A96A"/>
      <rgbColor rgb="FF003366"/>
      <rgbColor rgb="FF2F7A55"/>
      <rgbColor rgb="FF09182E"/>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hyperlink" Target="https://www.umih.fr/assets/files/site/ressources/observatoires-et-etudes/Observatoire_mensuel_des_performances_hotelieres_UMIH___GNC_Decembre_2025.pdf" TargetMode="External"/><Relationship Id="rId2" Type="http://schemas.openxmlformats.org/officeDocument/2006/relationships/hyperlink" Target="https://www.umih.fr/assets/files/site/ressources/observatoires-et-etudes/Observatoire_mensuel_des_performances_hotelieres_UMIH___GNC___Aout_2025.pdf" TargetMode="External"/><Relationship Id="rId3" Type="http://schemas.openxmlformats.org/officeDocument/2006/relationships/hyperlink" Target="https://www.umih.fr/assets/files/site/ressources/observatoires-et-etudes/Observatoire_mensuel_des_performances_hotelieres_UMIH___GNC_Janvier2025.pdf" TargetMode="External"/><Relationship Id="rId4" Type="http://schemas.openxmlformats.org/officeDocument/2006/relationships/hyperlink" Target="https://pro.normandie-tourisme.fr/app/uploads/sites/2/2026/04/la-frequentation-dans-lhotellerie-en-2025.pdf" TargetMode="External"/><Relationship Id="rId5" Type="http://schemas.openxmlformats.org/officeDocument/2006/relationships/hyperlink" Target="https://www.gironde-tourisme.com/espace-pro/wp-content/uploads/sites/2/2026/03/Gironde-Bilan-touristique-2025.pdf" TargetMode="External"/><Relationship Id="rId6" Type="http://schemas.openxmlformats.org/officeDocument/2006/relationships/hyperlink" Target="https://www.banque-france.fr/system/files/2024-12/fascicule-sectoriel-hebergement-55-2023.pdf" TargetMode="External"/><Relationship Id="rId7" Type="http://schemas.openxmlformats.org/officeDocument/2006/relationships/hyperlink" Target="https://www.banque-france.fr/system/files/2024-12/fascicule-sectoriel-restauration-56-2023.pdf" TargetMode="External"/><Relationship Id="rId8" Type="http://schemas.openxmlformats.org/officeDocument/2006/relationships/hyperlink" Target="https://www.keobiz.fr/fiches-pratiques/ratio-masse-salariale-chr/" TargetMode="External"/><Relationship Id="rId9" Type="http://schemas.openxmlformats.org/officeDocument/2006/relationships/hyperlink" Target="https://www.umih.fr/assets/files/site/medias/l-essentiel-nous-chrd/2026_juillet_aout_L_Essentiel_40.pdf" TargetMode="External"/><Relationship Id="rId10" Type="http://schemas.openxmlformats.org/officeDocument/2006/relationships/hyperlink" Target="https://www.umih.fr/assets/files/site/medias/communiques-de-presse/2024/240212_CP%20GHR-UMIH%20Energie.pdf" TargetMode="External"/><Relationship Id="rId11" Type="http://schemas.openxmlformats.org/officeDocument/2006/relationships/hyperlink" Target="https://hospitality-on.com/fr/distribution/distribution-hoteliere-europeenne-le-duopole-booking-expedia-se-fige-les-rapports-de" TargetMode="External"/><Relationship Id="rId12" Type="http://schemas.openxmlformats.org/officeDocument/2006/relationships/hyperlink" Target="https://www.journaldeleconomie.fr/?p=25192" TargetMode="External"/><Relationship Id="rId13" Type="http://schemas.openxmlformats.org/officeDocument/2006/relationships/hyperlink" Target="https://www.senat.fr/rap/r17-587/r17-587-syn.pdf" TargetMode="External"/><Relationship Id="rId14" Type="http://schemas.openxmlformats.org/officeDocument/2006/relationships/hyperlink" Target="https://costar.com/article/1366873980/capex-study-authors-4-reserves-not-enough" TargetMode="External"/><Relationship Id="rId15" Type="http://schemas.openxmlformats.org/officeDocument/2006/relationships/hyperlink" Target="https://www.info.gouv.fr/actualite/le-smic-revalorise-au-1er-janvier-2026" TargetMode="External"/><Relationship Id="rId16" Type="http://schemas.openxmlformats.org/officeDocument/2006/relationships/hyperlink" Target="https://www.ffbatiment.fr/actualites-batiment/actualite/augmentation-smic-juin-2026" TargetMode="External"/><Relationship Id="rId17" Type="http://schemas.openxmlformats.org/officeDocument/2006/relationships/hyperlink" Target="https://www.lhotellerie-restauration.fr/sos-experts/comment-evaluer-la-qualite-d-un-bail-dans-le-cadre-d-une-evaluation" TargetMode="External"/><Relationship Id="rId18" Type="http://schemas.openxmlformats.org/officeDocument/2006/relationships/hyperlink" Target="https://hospitality-on.com/fr/investisseurs/bpifrance-et-extendam-reunissent-les-banquiers-pour-parler-investissement-hotelier" TargetMode="External"/><Relationship Id="rId19" Type="http://schemas.openxmlformats.org/officeDocument/2006/relationships/hyperlink" Target="https://www.ifc-expertise.fr/valeurs-de-fonds-de-commerce-dhotellerie-entre-mythes-et-realites/" TargetMode="External"/><Relationship Id="rId20" Type="http://schemas.openxmlformats.org/officeDocument/2006/relationships/hyperlink" Target="https://www.cushmanwakefield.com/fr-fr/france/insights/paris-marketbeat-hospitality" TargetMode="External"/><Relationship Id="rId21" Type="http://schemas.openxmlformats.org/officeDocument/2006/relationships/hyperlink" Target="https://www.entreprises.cci-paris-idf.fr/fiches-pratiques/acquisition-dun-fonds-de-commerce-quelles-consequences-fiscales" TargetMode="External"/><Relationship Id="rId22" Type="http://schemas.openxmlformats.org/officeDocument/2006/relationships/hyperlink" Target="https://www.notaires.fr/fr/immobilier-fiscalite/financement/les-frais-dacquisition" TargetMode="External"/><Relationship Id="rId23" Type="http://schemas.openxmlformats.org/officeDocument/2006/relationships/hyperlink" Target="https://www.weblex.fr/weblex-actualite/vente-d-immeubles-les-taux-et-exonerations-applicables-au-1er-juin-2026-sont-connus" TargetMode="External"/><Relationship Id="rId24" Type="http://schemas.openxmlformats.org/officeDocument/2006/relationships/hyperlink" Target="https://www.keobiz.fr/fiches-pratiques/ouvrir-restaurant-hotel/cout-amenagement-chambre-hotel/" TargetMode="External"/><Relationship Id="rId25" Type="http://schemas.openxmlformats.org/officeDocument/2006/relationships/hyperlink" Target="https://www.banque-france.fr/fr/statistiques/credit/financement-des-entreprises-2026-08" TargetMode="External"/><Relationship Id="rId26" Type="http://schemas.openxmlformats.org/officeDocument/2006/relationships/hyperlink" Target="https://www.banque-france.fr/system/files/2026-10/Stat_info_Credits_aux_particuliers_202608.pdf" TargetMode="External"/><Relationship Id="rId27" Type="http://schemas.openxmlformats.org/officeDocument/2006/relationships/hyperlink" Target="https://www.keobiz.fr/fiches-pratiques/ouvrir-restaurant-hotel/financement-immobilier-credit-bail-hotel/" TargetMode="External"/><Relationship Id="rId28" Type="http://schemas.openxmlformats.org/officeDocument/2006/relationships/hyperlink" Target="https://www.metlife.fr/assurance-emprunteur/pret-professionnel/financement-hotel/" TargetMode="External"/><Relationship Id="rId29" Type="http://schemas.openxmlformats.org/officeDocument/2006/relationships/hyperlink" Target="https://www.cafpi.fr/pret-professionnel/murs-professionnels/financement-fonds-de-commerce-tout-ce-qu-il-faut-savoir" TargetMode="External"/><Relationship Id="rId30" Type="http://schemas.openxmlformats.org/officeDocument/2006/relationships/hyperlink" Target="https://entreprendre.service-public.gouv.fr/vosdroits/F23575" TargetMode="External"/><Relationship Id="rId31" Type="http://schemas.openxmlformats.org/officeDocument/2006/relationships/hyperlink" Target="https://entreprendre.service-public.gouv.fr/vosdroits/F37288" TargetMode="External"/><Relationship Id="rId32" Type="http://schemas.openxmlformats.org/officeDocument/2006/relationships/hyperlink" Target="https://www.justice.fr/fiche/taux-tva-produits-alimentaires-boissons" TargetMode="External"/><Relationship Id="rId33" Type="http://schemas.openxmlformats.org/officeDocument/2006/relationships/hyperlink" Target="https://www.entreprises.gouv.fr/fr/tourisme/conseils-strategie/chambres-d-hotes" TargetMode="External"/><Relationship Id="rId34" Type="http://schemas.openxmlformats.org/officeDocument/2006/relationships/hyperlink" Target="https://www.economie.gouv.fr/dgccrf/les-fiches-pratiques-et-les-faq/chambres-dhotes-quelle-est-la-reglementation-applicable" TargetMode="External"/><Relationship Id="rId35" Type="http://schemas.openxmlformats.org/officeDocument/2006/relationships/hyperlink" Target="https://www.autoentrepreneur.urssaf.fr/portail/accueil/sinformer-sur-le-statut/lessentiel-du-statut.html" TargetMode="External"/><Relationship Id="rId36" Type="http://schemas.openxmlformats.org/officeDocument/2006/relationships/hyperlink" Target="https://entreprendre.service-public.gouv.fr/vosdroits/F22379" TargetMode="External"/><Relationship Id="rId37" Type="http://schemas.openxmlformats.org/officeDocument/2006/relationships/hyperlink" Target="https://www.ghr.fr/reglementation-fiscalite/les-obligations-dans-les-hotels/la-procedure-de-classement-des-hotels-de-tourisme" TargetMode="External"/><Relationship Id="rId38" Type="http://schemas.openxmlformats.org/officeDocument/2006/relationships/hyperlink" Target="https://www.keobiz.fr/fiches-pratiques/ouvrir-restaurant-hotel/normes-erp-incendie-accessibilite/" TargetMode="External"/><Relationship Id="rId39" Type="http://schemas.openxmlformats.org/officeDocument/2006/relationships/hyperlink" Target="https://www.economie.gouv.fr/entreprises/gerer-sa-fiscalite-et-ses-impots/autres-impots-et-taxes/taxe-de-sejour-quelles-sont-les" TargetMode="External"/><Relationship Id="rId40" Type="http://schemas.openxmlformats.org/officeDocument/2006/relationships/hyperlink" Target="https://bpifrance-creation.fr/moment-de-vie/garanties-bancaires-quoi-sagit-il" TargetMode="External"/><Relationship Id="rId41" Type="http://schemas.openxmlformats.org/officeDocument/2006/relationships/hyperlink" Target="https://bpifrance-creation.fr/encyclopedie/financements/dispositifs-garantie/garanties-bancaires-proposees-france-active" TargetMode="External"/><Relationship Id="rId42" Type="http://schemas.openxmlformats.org/officeDocument/2006/relationships/hyperlink" Target="https://les-aides.fr/aide/cGU_3w/siagi/garantie-au-cas-par-cas-etude-personnalisee.html" TargetMode="External"/><Relationship Id="rId43" Type="http://schemas.openxmlformats.org/officeDocument/2006/relationships/hyperlink" Target="https://les-aides.fr/aide/dFVvIEwMDA6P/bpifrance/pret-tourisme-3.html" TargetMode="External"/><Relationship Id="rId44" Type="http://schemas.openxmlformats.org/officeDocument/2006/relationships/hyperlink" Target="https://les-aides.fr/aide/EBN_ICwMDA6P/bpifrance/garantie-transmission.html" TargetMode="External"/><Relationship Id="rId45" Type="http://schemas.openxmlformats.org/officeDocument/2006/relationships/hyperlink" Target="https://les-aides.fr/aide/YXA_3w/region-bretagne/pass-investissement-entreprises-touristiques-volet-travaux.html" TargetMode="External"/><Relationship Id="rId46" Type="http://schemas.openxmlformats.org/officeDocument/2006/relationships/hyperlink" Target="https://adnormandie.fr/wp-content/uploads/2025/11/REGLEMENT-IMP-DEVELOPPEMENT-.pdf" TargetMode="External"/><Relationship Id="rId47" Type="http://schemas.openxmlformats.org/officeDocument/2006/relationships/hyperlink" Target="https://les-aides.fr/aide/cCGP3w/region-des-pays-de-la-loire/agir-tourisme.html" TargetMode="External"/><Relationship Id="rId48" Type="http://schemas.openxmlformats.org/officeDocument/2006/relationships/hyperlink" Target="https://les-aides.fr/aide/RjNf3w/region-nouvelle-aquitaine/aide-a-l-hotellerie-independante.html" TargetMode="External"/><Relationship Id="rId49" Type="http://schemas.openxmlformats.org/officeDocument/2006/relationships/hyperlink" Target="https://www.realestate.bnpparibas.fr/media/france/2026-09/REVIEW%20HOTELLERIE%20-%20T2%202026_FR.pdf" TargetMode="External"/><Relationship Id="rId50" Type="http://schemas.openxmlformats.org/officeDocument/2006/relationships/hyperlink" Target="https://www.ecb.europa.eu/press/pr/date/2026/html/ecb.mp260910~314e508016.en.html" TargetMode="External"/><Relationship Id="rId51" Type="http://schemas.openxmlformats.org/officeDocument/2006/relationships/hyperlink" Target="https://www.banque-france.fr/fr/statistiques/entreprises/defaillances-dentreprises-2026-07" TargetMode="External"/><Relationship Id="rId52" Type="http://schemas.openxmlformats.org/officeDocument/2006/relationships/hyperlink" Target="https://www.metlife.fr/assurance-emprunteur/pret-professionnel/que-regarde-la-banque/" TargetMode="External"/><Relationship Id="rId53" Type="http://schemas.openxmlformats.org/officeDocument/2006/relationships/hyperlink" Target="https://mktgdocs.cbre.com/2299/be26ab5e-2ab1-44ae-95c6-3b706d129436-2109243007/CBRE_Figures_H_tels_France_T1_.pdf" TargetMode="External"/><Relationship Id="rId54" Type="http://schemas.openxmlformats.org/officeDocument/2006/relationships/hyperlink" Target="https://www.poitiers.cci.fr/wp-content/uploads/2026/05/2026-permis-dexploiter.pdf" TargetMode="External"/><Relationship Id="rId55" Type="http://schemas.openxmlformats.org/officeDocument/2006/relationships/hyperlink" Target="https://www.quechoisir.org/actualite-immobilier-les-frais-de-notaire-augmentent-dans-l-ancien-n167712/" TargetMode="External"/><Relationship Id="rId56" Type="http://schemas.openxmlformats.org/officeDocument/2006/relationships/hyperlink" Target="https://www.pointdevente.fr/fr/actualites/les-frais-caches-lors-de-l-achat-d-un-fonds-de-commerce-a658" TargetMode="External"/><Relationship Id="rId57" Type="http://schemas.openxmlformats.org/officeDocument/2006/relationships/hyperlink" Target="https://www.pap.fr/vendeur/vendre-sans-agence/vente-immobiliere-les-frais-d-agence-qui-paie-quand-et-combien/a23282" TargetMode="External"/><Relationship Id="rId58" Type="http://schemas.openxmlformats.org/officeDocument/2006/relationships/hyperlink" Target="https://www.economie.gouv.fr/dgccrf/les-fiches-pratiques/lagent-immobilier-les-regles-qui-encadrent-la-profession" TargetMode="External"/><Relationship Id="rId59" Type="http://schemas.openxmlformats.org/officeDocument/2006/relationships/hyperlink" Target="https://bpifrance-creation.fr/encyclopedie/fiscalite-lentreprise/fiscalite-transmissionreprise/droits-denregistrement-cas-reprise" TargetMode="External"/><Relationship Id="rId60" Type="http://schemas.openxmlformats.org/officeDocument/2006/relationships/hyperlink" Target="https://www.service-public.gouv.fr/particuliers/vosdroits/F17701"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C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100"/>
  </cols>
  <sheetData>
    <row r="1" customFormat="false" ht="15" hidden="false" customHeight="false" outlineLevel="0" collapsed="false">
      <c r="A1" s="1"/>
      <c r="B1" s="2" t="s">
        <v>0</v>
      </c>
      <c r="C1" s="1"/>
    </row>
    <row r="2" customFormat="false" ht="27.75" hidden="false" customHeight="true" outlineLevel="0" collapsed="false">
      <c r="A2" s="1"/>
      <c r="B2" s="3" t="s">
        <v>1</v>
      </c>
      <c r="C2" s="1"/>
    </row>
    <row r="3" customFormat="false" ht="15" hidden="false" customHeight="false" outlineLevel="0" collapsed="false">
      <c r="A3" s="1"/>
      <c r="B3" s="4" t="s">
        <v>2</v>
      </c>
      <c r="C3" s="1"/>
    </row>
    <row r="4" customFormat="false" ht="15" hidden="false" customHeight="false" outlineLevel="0" collapsed="false">
      <c r="A4" s="1"/>
      <c r="B4" s="1"/>
      <c r="C4" s="1"/>
    </row>
    <row r="5" customFormat="false" ht="36" hidden="false" customHeight="true" outlineLevel="0" collapsed="false">
      <c r="A5" s="1"/>
      <c r="B5" s="5" t="s">
        <v>3</v>
      </c>
      <c r="C5" s="5"/>
    </row>
    <row r="6" customFormat="false" ht="15" hidden="false" customHeight="false" outlineLevel="0" collapsed="false">
      <c r="A6" s="1"/>
      <c r="B6" s="1"/>
      <c r="C6" s="1"/>
    </row>
    <row r="7" customFormat="false" ht="33" hidden="false" customHeight="true" outlineLevel="0" collapsed="false">
      <c r="A7" s="1"/>
      <c r="B7" s="6" t="s">
        <v>4</v>
      </c>
      <c r="C7" s="7" t="s">
        <v>5</v>
      </c>
    </row>
    <row r="8" customFormat="false" ht="33" hidden="false" customHeight="true" outlineLevel="0" collapsed="false">
      <c r="A8" s="1"/>
      <c r="B8" s="6" t="s">
        <v>6</v>
      </c>
      <c r="C8" s="7" t="s">
        <v>7</v>
      </c>
    </row>
    <row r="9" customFormat="false" ht="87" hidden="false" customHeight="true" outlineLevel="0" collapsed="false">
      <c r="A9" s="1"/>
      <c r="B9" s="6" t="s">
        <v>8</v>
      </c>
      <c r="C9" s="7" t="s">
        <v>9</v>
      </c>
    </row>
    <row r="10" customFormat="false" ht="46.5" hidden="false" customHeight="true" outlineLevel="0" collapsed="false">
      <c r="A10" s="1"/>
      <c r="B10" s="6" t="s">
        <v>10</v>
      </c>
      <c r="C10" s="7" t="s">
        <v>11</v>
      </c>
    </row>
    <row r="11" customFormat="false" ht="46.5" hidden="false" customHeight="true" outlineLevel="0" collapsed="false">
      <c r="A11" s="1"/>
      <c r="B11" s="6" t="s">
        <v>12</v>
      </c>
      <c r="C11" s="7" t="s">
        <v>13</v>
      </c>
    </row>
    <row r="12" customFormat="false" ht="100.5" hidden="false" customHeight="true" outlineLevel="0" collapsed="false">
      <c r="A12" s="1"/>
      <c r="B12" s="6" t="s">
        <v>14</v>
      </c>
      <c r="C12" s="7" t="s">
        <v>15</v>
      </c>
    </row>
    <row r="13" customFormat="false" ht="46.5" hidden="false" customHeight="true" outlineLevel="0" collapsed="false">
      <c r="A13" s="1"/>
      <c r="B13" s="6" t="s">
        <v>16</v>
      </c>
      <c r="C13" s="7" t="s">
        <v>17</v>
      </c>
    </row>
    <row r="14" customFormat="false" ht="46.5" hidden="false" customHeight="true" outlineLevel="0" collapsed="false">
      <c r="A14" s="1"/>
      <c r="B14" s="6" t="s">
        <v>18</v>
      </c>
      <c r="C14" s="7" t="s">
        <v>19</v>
      </c>
    </row>
    <row r="15" customFormat="false" ht="33" hidden="false" customHeight="true" outlineLevel="0" collapsed="false">
      <c r="A15" s="1"/>
      <c r="B15" s="6" t="s">
        <v>20</v>
      </c>
      <c r="C15" s="7" t="s">
        <v>21</v>
      </c>
    </row>
  </sheetData>
  <mergeCells count="1">
    <mergeCell ref="B5:C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96A"/>
    <pageSetUpPr fitToPage="true"/>
  </sheetPr>
  <dimension ref="A1:L1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3"/>
    <col collapsed="false" customWidth="true" hidden="false" outlineLevel="0" max="4" min="4" style="0" width="11"/>
    <col collapsed="false" customWidth="true" hidden="false" outlineLevel="0" max="5" min="5" style="0" width="13"/>
    <col collapsed="false" customWidth="true" hidden="false" outlineLevel="0" max="11" min="6" style="0" width="12"/>
    <col collapsed="false" customWidth="true" hidden="false" outlineLevel="0" max="12" min="12" style="0" width="13"/>
  </cols>
  <sheetData>
    <row r="1" customFormat="false" ht="24" hidden="false" customHeight="true" outlineLevel="0" collapsed="false">
      <c r="A1" s="1"/>
      <c r="B1" s="8" t="s">
        <v>22</v>
      </c>
      <c r="C1" s="1"/>
      <c r="D1" s="1"/>
      <c r="E1" s="1"/>
      <c r="F1" s="1"/>
      <c r="G1" s="1"/>
      <c r="H1" s="1"/>
      <c r="I1" s="1"/>
      <c r="J1" s="1"/>
      <c r="K1" s="1"/>
      <c r="L1" s="1"/>
    </row>
    <row r="2" customFormat="false" ht="15" hidden="false" customHeight="false" outlineLevel="0" collapsed="false">
      <c r="A2" s="1"/>
      <c r="B2" s="9" t="s">
        <v>2</v>
      </c>
      <c r="C2" s="1"/>
      <c r="D2" s="1"/>
      <c r="E2" s="1"/>
      <c r="F2" s="1"/>
      <c r="G2" s="1"/>
      <c r="H2" s="1"/>
      <c r="I2" s="1"/>
      <c r="J2" s="1"/>
      <c r="K2" s="1"/>
      <c r="L2" s="1"/>
    </row>
    <row r="3" customFormat="false" ht="15" hidden="false" customHeight="false" outlineLevel="0" collapsed="false">
      <c r="A3" s="1"/>
      <c r="B3" s="10" t="s">
        <v>23</v>
      </c>
      <c r="C3" s="1"/>
      <c r="D3" s="1"/>
      <c r="E3" s="1"/>
      <c r="F3" s="1"/>
      <c r="G3" s="1"/>
      <c r="H3" s="1"/>
      <c r="I3" s="1"/>
      <c r="J3" s="1"/>
      <c r="K3" s="1"/>
      <c r="L3" s="1"/>
    </row>
    <row r="4" customFormat="false" ht="15" hidden="false" customHeight="false" outlineLevel="0" collapsed="false">
      <c r="A4" s="1"/>
      <c r="B4" s="1"/>
      <c r="C4" s="1"/>
      <c r="D4" s="1"/>
      <c r="E4" s="1"/>
      <c r="F4" s="1"/>
      <c r="G4" s="1"/>
      <c r="H4" s="1"/>
      <c r="I4" s="1"/>
      <c r="J4" s="1"/>
      <c r="K4" s="1"/>
      <c r="L4" s="1"/>
    </row>
    <row r="5" customFormat="false" ht="54" hidden="false" customHeight="true" outlineLevel="0" collapsed="false">
      <c r="A5" s="1"/>
      <c r="B5" s="11" t="s">
        <v>10</v>
      </c>
      <c r="C5" s="12" t="n">
        <v>1234</v>
      </c>
      <c r="D5" s="13" t="s">
        <v>24</v>
      </c>
      <c r="E5" s="13"/>
      <c r="F5" s="13"/>
      <c r="G5" s="13"/>
      <c r="H5" s="13"/>
      <c r="I5" s="13"/>
      <c r="J5" s="13"/>
      <c r="K5" s="13"/>
      <c r="L5" s="13"/>
    </row>
    <row r="6" customFormat="false" ht="15" hidden="false" customHeight="false" outlineLevel="0" collapsed="false">
      <c r="A6" s="1"/>
      <c r="B6" s="1"/>
      <c r="C6" s="1"/>
      <c r="D6" s="1"/>
      <c r="E6" s="1"/>
      <c r="F6" s="1"/>
      <c r="G6" s="1"/>
      <c r="H6" s="1"/>
      <c r="I6" s="1"/>
      <c r="J6" s="1"/>
      <c r="K6" s="1"/>
      <c r="L6" s="1"/>
    </row>
    <row r="7" customFormat="false" ht="19.5" hidden="false" customHeight="true" outlineLevel="0" collapsed="false">
      <c r="A7" s="1"/>
      <c r="B7" s="14" t="s">
        <v>25</v>
      </c>
      <c r="C7" s="15"/>
      <c r="D7" s="15"/>
      <c r="E7" s="15"/>
      <c r="F7" s="15"/>
      <c r="G7" s="15"/>
      <c r="H7" s="15"/>
      <c r="I7" s="15"/>
      <c r="J7" s="15"/>
      <c r="K7" s="15"/>
      <c r="L7" s="15"/>
    </row>
    <row r="8" customFormat="false" ht="25.5" hidden="false" customHeight="true" outlineLevel="0" collapsed="false">
      <c r="A8" s="1"/>
      <c r="B8" s="16" t="s">
        <v>26</v>
      </c>
      <c r="C8" s="17" t="s">
        <v>27</v>
      </c>
      <c r="D8" s="17" t="s">
        <v>28</v>
      </c>
      <c r="E8" s="17" t="s">
        <v>29</v>
      </c>
      <c r="F8" s="18" t="s">
        <v>30</v>
      </c>
      <c r="G8" s="18"/>
      <c r="H8" s="18"/>
      <c r="I8" s="18"/>
      <c r="J8" s="18"/>
      <c r="K8" s="18"/>
      <c r="L8" s="18"/>
    </row>
    <row r="9" customFormat="false" ht="30" hidden="false" customHeight="true" outlineLevel="0" collapsed="false">
      <c r="A9" s="1"/>
      <c r="B9" s="19" t="s">
        <v>31</v>
      </c>
      <c r="C9" s="20" t="n">
        <v>5</v>
      </c>
      <c r="D9" s="21" t="s">
        <v>32</v>
      </c>
      <c r="E9" s="22" t="s">
        <v>33</v>
      </c>
      <c r="F9" s="21" t="s">
        <v>34</v>
      </c>
      <c r="G9" s="21"/>
      <c r="H9" s="21"/>
      <c r="I9" s="21"/>
      <c r="J9" s="21"/>
      <c r="K9" s="21"/>
      <c r="L9" s="21"/>
    </row>
    <row r="10" customFormat="false" ht="30" hidden="false" customHeight="true" outlineLevel="0" collapsed="false">
      <c r="A10" s="1"/>
      <c r="B10" s="19" t="s">
        <v>35</v>
      </c>
      <c r="C10" s="23" t="n">
        <v>2</v>
      </c>
      <c r="D10" s="21" t="s">
        <v>36</v>
      </c>
      <c r="E10" s="22" t="s">
        <v>33</v>
      </c>
      <c r="F10" s="21" t="s">
        <v>37</v>
      </c>
      <c r="G10" s="21"/>
      <c r="H10" s="21"/>
      <c r="I10" s="21"/>
      <c r="J10" s="21"/>
      <c r="K10" s="21"/>
      <c r="L10" s="21"/>
    </row>
    <row r="11" customFormat="false" ht="30" hidden="false" customHeight="true" outlineLevel="0" collapsed="false">
      <c r="A11" s="1"/>
      <c r="B11" s="19" t="s">
        <v>38</v>
      </c>
      <c r="C11" s="24" t="n">
        <v>0.5</v>
      </c>
      <c r="D11" s="21" t="s">
        <v>39</v>
      </c>
      <c r="E11" s="22" t="s">
        <v>33</v>
      </c>
      <c r="F11" s="21" t="s">
        <v>40</v>
      </c>
      <c r="G11" s="21"/>
      <c r="H11" s="21"/>
      <c r="I11" s="21"/>
      <c r="J11" s="21"/>
      <c r="K11" s="21"/>
      <c r="L11" s="21"/>
    </row>
    <row r="12" customFormat="false" ht="30" hidden="false" customHeight="true" outlineLevel="0" collapsed="false">
      <c r="A12" s="1"/>
      <c r="B12" s="19" t="s">
        <v>41</v>
      </c>
      <c r="C12" s="25" t="n">
        <v>140</v>
      </c>
      <c r="D12" s="21" t="s">
        <v>42</v>
      </c>
      <c r="E12" s="22" t="s">
        <v>33</v>
      </c>
      <c r="F12" s="21" t="s">
        <v>43</v>
      </c>
      <c r="G12" s="21"/>
      <c r="H12" s="21"/>
      <c r="I12" s="21"/>
      <c r="J12" s="21"/>
      <c r="K12" s="21"/>
      <c r="L12" s="21"/>
    </row>
    <row r="13" customFormat="false" ht="42" hidden="false" customHeight="true" outlineLevel="0" collapsed="false">
      <c r="A13" s="1"/>
      <c r="B13" s="19" t="s">
        <v>44</v>
      </c>
      <c r="C13" s="26" t="n">
        <v>1.2</v>
      </c>
      <c r="D13" s="21" t="s">
        <v>45</v>
      </c>
      <c r="E13" s="27" t="s">
        <v>46</v>
      </c>
      <c r="F13" s="21" t="s">
        <v>47</v>
      </c>
      <c r="G13" s="21"/>
      <c r="H13" s="21"/>
      <c r="I13" s="21"/>
      <c r="J13" s="21"/>
      <c r="K13" s="21"/>
      <c r="L13" s="21"/>
    </row>
    <row r="14" customFormat="false" ht="30" hidden="false" customHeight="true" outlineLevel="0" collapsed="false">
      <c r="A14" s="1"/>
      <c r="B14" s="19" t="s">
        <v>48</v>
      </c>
      <c r="C14" s="24" t="n">
        <v>0.95</v>
      </c>
      <c r="D14" s="21" t="s">
        <v>39</v>
      </c>
      <c r="E14" s="22" t="s">
        <v>33</v>
      </c>
      <c r="F14" s="21" t="s">
        <v>49</v>
      </c>
      <c r="G14" s="21"/>
      <c r="H14" s="21"/>
      <c r="I14" s="21"/>
      <c r="J14" s="21"/>
      <c r="K14" s="21"/>
      <c r="L14" s="21"/>
    </row>
    <row r="15" customFormat="false" ht="15" hidden="false" customHeight="false" outlineLevel="0" collapsed="false">
      <c r="A15" s="1"/>
      <c r="B15" s="1"/>
      <c r="C15" s="1"/>
      <c r="D15" s="1"/>
      <c r="E15" s="1"/>
      <c r="F15" s="1"/>
      <c r="G15" s="1"/>
      <c r="H15" s="1"/>
      <c r="I15" s="1"/>
      <c r="J15" s="1"/>
      <c r="K15" s="1"/>
      <c r="L15" s="1"/>
    </row>
    <row r="16" customFormat="false" ht="19.5" hidden="false" customHeight="true" outlineLevel="0" collapsed="false">
      <c r="A16" s="1"/>
      <c r="B16" s="14" t="s">
        <v>50</v>
      </c>
      <c r="C16" s="15"/>
      <c r="D16" s="15"/>
      <c r="E16" s="15"/>
      <c r="F16" s="15"/>
      <c r="G16" s="15"/>
      <c r="H16" s="15"/>
      <c r="I16" s="15"/>
      <c r="J16" s="15"/>
      <c r="K16" s="15"/>
      <c r="L16" s="15"/>
    </row>
    <row r="17" customFormat="false" ht="51.75" hidden="false" customHeight="true" outlineLevel="0" collapsed="false">
      <c r="A17" s="1"/>
      <c r="B17" s="28" t="s">
        <v>51</v>
      </c>
      <c r="C17" s="28"/>
      <c r="D17" s="28"/>
      <c r="E17" s="28"/>
      <c r="F17" s="28"/>
      <c r="G17" s="28"/>
      <c r="H17" s="28"/>
      <c r="I17" s="28"/>
      <c r="J17" s="28"/>
      <c r="K17" s="28"/>
      <c r="L17" s="28"/>
    </row>
    <row r="18" customFormat="false" ht="37.5" hidden="false" customHeight="true" outlineLevel="0" collapsed="false">
      <c r="A18" s="1"/>
      <c r="B18" s="16" t="s">
        <v>52</v>
      </c>
      <c r="C18" s="17" t="s">
        <v>53</v>
      </c>
      <c r="D18" s="17" t="s">
        <v>54</v>
      </c>
      <c r="E18" s="17" t="s">
        <v>55</v>
      </c>
      <c r="F18" s="17" t="s">
        <v>56</v>
      </c>
      <c r="G18" s="17" t="s">
        <v>57</v>
      </c>
      <c r="H18" s="17" t="s">
        <v>58</v>
      </c>
      <c r="I18" s="17" t="s">
        <v>59</v>
      </c>
      <c r="J18" s="17" t="s">
        <v>60</v>
      </c>
      <c r="K18" s="17" t="s">
        <v>61</v>
      </c>
      <c r="L18" s="17" t="s">
        <v>62</v>
      </c>
    </row>
    <row r="19" customFormat="false" ht="15" hidden="false" customHeight="false" outlineLevel="0" collapsed="false">
      <c r="A19" s="1"/>
      <c r="B19" s="29" t="s">
        <v>63</v>
      </c>
      <c r="C19" s="30" t="n">
        <v>31</v>
      </c>
      <c r="D19" s="31" t="n">
        <v>0</v>
      </c>
      <c r="E19" s="32" t="n">
        <v>0.365</v>
      </c>
      <c r="F19" s="33" t="n">
        <f aca="false">E19/AVERAGE($E$19:$E$30)</f>
        <v>0.662832929782082</v>
      </c>
      <c r="G19" s="33" t="n">
        <f aca="false">MAX(0,1+$C$13*(F19-1))</f>
        <v>0.595399515738499</v>
      </c>
      <c r="H19" s="34" t="n">
        <v>0.9</v>
      </c>
      <c r="I19" s="35" t="n">
        <f aca="false">IF(D19=1,MIN($C$14,$C$11*G19),0)</f>
        <v>0</v>
      </c>
      <c r="J19" s="36" t="n">
        <f aca="false">$C$9*C19*I19</f>
        <v>0</v>
      </c>
      <c r="K19" s="37" t="n">
        <f aca="false">$C$12*H19/$C$33</f>
        <v>119.750445298802</v>
      </c>
      <c r="L19" s="38" t="n">
        <f aca="false">J19*K19</f>
        <v>0</v>
      </c>
    </row>
    <row r="20" customFormat="false" ht="15" hidden="false" customHeight="false" outlineLevel="0" collapsed="false">
      <c r="A20" s="1"/>
      <c r="B20" s="29" t="s">
        <v>64</v>
      </c>
      <c r="C20" s="30" t="n">
        <v>28</v>
      </c>
      <c r="D20" s="31" t="n">
        <v>0</v>
      </c>
      <c r="E20" s="32" t="n">
        <v>0.421</v>
      </c>
      <c r="F20" s="33" t="n">
        <f aca="false">E20/AVERAGE($E$19:$E$30)</f>
        <v>0.764527845036319</v>
      </c>
      <c r="G20" s="33" t="n">
        <f aca="false">MAX(0,1+$C$13*(F20-1))</f>
        <v>0.717433414043583</v>
      </c>
      <c r="H20" s="34" t="n">
        <v>0.9</v>
      </c>
      <c r="I20" s="35" t="n">
        <f aca="false">IF(D20=1,MIN($C$14,$C$11*G20),0)</f>
        <v>0</v>
      </c>
      <c r="J20" s="36" t="n">
        <f aca="false">$C$9*C20*I20</f>
        <v>0</v>
      </c>
      <c r="K20" s="37" t="n">
        <f aca="false">$C$12*H20/$C$33</f>
        <v>119.750445298802</v>
      </c>
      <c r="L20" s="38" t="n">
        <f aca="false">J20*K20</f>
        <v>0</v>
      </c>
    </row>
    <row r="21" customFormat="false" ht="15" hidden="false" customHeight="false" outlineLevel="0" collapsed="false">
      <c r="A21" s="1"/>
      <c r="B21" s="29" t="s">
        <v>65</v>
      </c>
      <c r="C21" s="30" t="n">
        <v>31</v>
      </c>
      <c r="D21" s="31" t="n">
        <v>1</v>
      </c>
      <c r="E21" s="32" t="n">
        <v>0.454</v>
      </c>
      <c r="F21" s="33" t="n">
        <f aca="false">E21/AVERAGE($E$19:$E$30)</f>
        <v>0.824455205811138</v>
      </c>
      <c r="G21" s="33" t="n">
        <f aca="false">MAX(0,1+$C$13*(F21-1))</f>
        <v>0.789346246973366</v>
      </c>
      <c r="H21" s="34" t="n">
        <v>0.92</v>
      </c>
      <c r="I21" s="35" t="n">
        <f aca="false">IF(D21=1,MIN($C$14,$C$11*G21),0)</f>
        <v>0.394673123486683</v>
      </c>
      <c r="J21" s="36" t="n">
        <f aca="false">$C$9*C21*I21</f>
        <v>61.1743341404358</v>
      </c>
      <c r="K21" s="37" t="n">
        <f aca="false">$C$12*H21/$C$33</f>
        <v>122.411566305442</v>
      </c>
      <c r="L21" s="38" t="n">
        <f aca="false">J21*K21</f>
        <v>7488.4460598232</v>
      </c>
    </row>
    <row r="22" customFormat="false" ht="15" hidden="false" customHeight="false" outlineLevel="0" collapsed="false">
      <c r="A22" s="1"/>
      <c r="B22" s="29" t="s">
        <v>66</v>
      </c>
      <c r="C22" s="30" t="n">
        <v>30</v>
      </c>
      <c r="D22" s="31" t="n">
        <v>1</v>
      </c>
      <c r="E22" s="32" t="n">
        <v>0.557</v>
      </c>
      <c r="F22" s="33" t="n">
        <f aca="false">E22/AVERAGE($E$19:$E$30)</f>
        <v>1.01150121065375</v>
      </c>
      <c r="G22" s="33" t="n">
        <f aca="false">MAX(0,1+$C$13*(F22-1))</f>
        <v>1.0138014527845</v>
      </c>
      <c r="H22" s="34" t="n">
        <v>0.97</v>
      </c>
      <c r="I22" s="35" t="n">
        <f aca="false">IF(D22=1,MIN($C$14,$C$11*G22),0)</f>
        <v>0.506900726392252</v>
      </c>
      <c r="J22" s="36" t="n">
        <f aca="false">$C$9*C22*I22</f>
        <v>76.0351089588378</v>
      </c>
      <c r="K22" s="37" t="n">
        <f aca="false">$C$12*H22/$C$33</f>
        <v>129.064368822042</v>
      </c>
      <c r="L22" s="38" t="n">
        <f aca="false">J22*K22</f>
        <v>9813.42334608756</v>
      </c>
    </row>
    <row r="23" customFormat="false" ht="15" hidden="false" customHeight="false" outlineLevel="0" collapsed="false">
      <c r="A23" s="1"/>
      <c r="B23" s="29" t="s">
        <v>67</v>
      </c>
      <c r="C23" s="30" t="n">
        <v>31</v>
      </c>
      <c r="D23" s="31" t="n">
        <v>1</v>
      </c>
      <c r="E23" s="32" t="n">
        <v>0.63</v>
      </c>
      <c r="F23" s="33" t="n">
        <f aca="false">E23/AVERAGE($E$19:$E$30)</f>
        <v>1.14406779661017</v>
      </c>
      <c r="G23" s="33" t="n">
        <f aca="false">MAX(0,1+$C$13*(F23-1))</f>
        <v>1.1728813559322</v>
      </c>
      <c r="H23" s="34" t="n">
        <v>1</v>
      </c>
      <c r="I23" s="35" t="n">
        <f aca="false">IF(D23=1,MIN($C$14,$C$11*G23),0)</f>
        <v>0.586440677966102</v>
      </c>
      <c r="J23" s="36" t="n">
        <f aca="false">$C$9*C23*I23</f>
        <v>90.8983050847457</v>
      </c>
      <c r="K23" s="37" t="n">
        <f aca="false">$C$12*H23/$C$33</f>
        <v>133.056050332002</v>
      </c>
      <c r="L23" s="38" t="n">
        <f aca="false">J23*K23</f>
        <v>12094.5694564496</v>
      </c>
    </row>
    <row r="24" customFormat="false" ht="15" hidden="false" customHeight="false" outlineLevel="0" collapsed="false">
      <c r="A24" s="1"/>
      <c r="B24" s="29" t="s">
        <v>68</v>
      </c>
      <c r="C24" s="30" t="n">
        <v>30</v>
      </c>
      <c r="D24" s="31" t="n">
        <v>1</v>
      </c>
      <c r="E24" s="32" t="n">
        <v>0.693</v>
      </c>
      <c r="F24" s="33" t="n">
        <f aca="false">E24/AVERAGE($E$19:$E$30)</f>
        <v>1.25847457627119</v>
      </c>
      <c r="G24" s="33" t="n">
        <f aca="false">MAX(0,1+$C$13*(F24-1))</f>
        <v>1.31016949152542</v>
      </c>
      <c r="H24" s="34" t="n">
        <v>1.06</v>
      </c>
      <c r="I24" s="35" t="n">
        <f aca="false">IF(D24=1,MIN($C$14,$C$11*G24),0)</f>
        <v>0.655084745762712</v>
      </c>
      <c r="J24" s="36" t="n">
        <f aca="false">$C$9*C24*I24</f>
        <v>98.2627118644068</v>
      </c>
      <c r="K24" s="37" t="n">
        <f aca="false">$C$12*H24/$C$33</f>
        <v>141.039413351922</v>
      </c>
      <c r="L24" s="38" t="n">
        <f aca="false">J24*K24</f>
        <v>13858.9152357249</v>
      </c>
    </row>
    <row r="25" customFormat="false" ht="15" hidden="false" customHeight="false" outlineLevel="0" collapsed="false">
      <c r="A25" s="1"/>
      <c r="B25" s="29" t="s">
        <v>69</v>
      </c>
      <c r="C25" s="30" t="n">
        <v>31</v>
      </c>
      <c r="D25" s="31" t="n">
        <v>1</v>
      </c>
      <c r="E25" s="32" t="n">
        <v>0.681</v>
      </c>
      <c r="F25" s="33" t="n">
        <f aca="false">E25/AVERAGE($E$19:$E$30)</f>
        <v>1.23668280871671</v>
      </c>
      <c r="G25" s="33" t="n">
        <f aca="false">MAX(0,1+$C$13*(F25-1))</f>
        <v>1.28401937046005</v>
      </c>
      <c r="H25" s="34" t="n">
        <v>1.2</v>
      </c>
      <c r="I25" s="35" t="n">
        <f aca="false">IF(D25=1,MIN($C$14,$C$11*G25),0)</f>
        <v>0.642009685230024</v>
      </c>
      <c r="J25" s="36" t="n">
        <f aca="false">$C$9*C25*I25</f>
        <v>99.5115012106538</v>
      </c>
      <c r="K25" s="37" t="n">
        <f aca="false">$C$12*H25/$C$33</f>
        <v>159.667260398402</v>
      </c>
      <c r="L25" s="38" t="n">
        <f aca="false">J25*K25</f>
        <v>15888.7287764374</v>
      </c>
    </row>
    <row r="26" customFormat="false" ht="15" hidden="false" customHeight="false" outlineLevel="0" collapsed="false">
      <c r="A26" s="1"/>
      <c r="B26" s="29" t="s">
        <v>70</v>
      </c>
      <c r="C26" s="30" t="n">
        <v>31</v>
      </c>
      <c r="D26" s="31" t="n">
        <v>1</v>
      </c>
      <c r="E26" s="32" t="n">
        <v>0.734</v>
      </c>
      <c r="F26" s="33" t="n">
        <f aca="false">E26/AVERAGE($E$19:$E$30)</f>
        <v>1.33292978208232</v>
      </c>
      <c r="G26" s="33" t="n">
        <f aca="false">MAX(0,1+$C$13*(F26-1))</f>
        <v>1.39951573849879</v>
      </c>
      <c r="H26" s="34" t="n">
        <v>1.24</v>
      </c>
      <c r="I26" s="35" t="n">
        <f aca="false">IF(D26=1,MIN($C$14,$C$11*G26),0)</f>
        <v>0.699757869249395</v>
      </c>
      <c r="J26" s="36" t="n">
        <f aca="false">$C$9*C26*I26</f>
        <v>108.462469733656</v>
      </c>
      <c r="K26" s="37" t="n">
        <f aca="false">$C$12*H26/$C$33</f>
        <v>164.989502411682</v>
      </c>
      <c r="L26" s="38" t="n">
        <f aca="false">J26*K26</f>
        <v>17895.1689116981</v>
      </c>
    </row>
    <row r="27" customFormat="false" ht="15" hidden="false" customHeight="false" outlineLevel="0" collapsed="false">
      <c r="A27" s="1"/>
      <c r="B27" s="29" t="s">
        <v>71</v>
      </c>
      <c r="C27" s="30" t="n">
        <v>30</v>
      </c>
      <c r="D27" s="31" t="n">
        <v>1</v>
      </c>
      <c r="E27" s="32" t="n">
        <v>0.663</v>
      </c>
      <c r="F27" s="33" t="n">
        <f aca="false">E27/AVERAGE($E$19:$E$30)</f>
        <v>1.20399515738499</v>
      </c>
      <c r="G27" s="33" t="n">
        <f aca="false">MAX(0,1+$C$13*(F27-1))</f>
        <v>1.24479418886199</v>
      </c>
      <c r="H27" s="34" t="n">
        <v>1.04</v>
      </c>
      <c r="I27" s="35" t="n">
        <f aca="false">IF(D27=1,MIN($C$14,$C$11*G27),0)</f>
        <v>0.622397094430993</v>
      </c>
      <c r="J27" s="36" t="n">
        <f aca="false">$C$9*C27*I27</f>
        <v>93.3595641646489</v>
      </c>
      <c r="K27" s="37" t="n">
        <f aca="false">$C$12*H27/$C$33</f>
        <v>138.378292345282</v>
      </c>
      <c r="L27" s="38" t="n">
        <f aca="false">J27*K27</f>
        <v>12918.9370632039</v>
      </c>
    </row>
    <row r="28" customFormat="false" ht="15" hidden="false" customHeight="false" outlineLevel="0" collapsed="false">
      <c r="A28" s="1"/>
      <c r="B28" s="29" t="s">
        <v>72</v>
      </c>
      <c r="C28" s="30" t="n">
        <v>31</v>
      </c>
      <c r="D28" s="31" t="n">
        <v>1</v>
      </c>
      <c r="E28" s="32" t="n">
        <v>0.555</v>
      </c>
      <c r="F28" s="33" t="n">
        <f aca="false">E28/AVERAGE($E$19:$E$30)</f>
        <v>1.00786924939467</v>
      </c>
      <c r="G28" s="33" t="n">
        <f aca="false">MAX(0,1+$C$13*(F28-1))</f>
        <v>1.00944309927361</v>
      </c>
      <c r="H28" s="34" t="n">
        <v>0.96</v>
      </c>
      <c r="I28" s="35" t="n">
        <f aca="false">IF(D28=1,MIN($C$14,$C$11*G28),0)</f>
        <v>0.504721549636804</v>
      </c>
      <c r="J28" s="36" t="n">
        <f aca="false">$C$9*C28*I28</f>
        <v>78.2318401937046</v>
      </c>
      <c r="K28" s="37" t="n">
        <f aca="false">$C$12*H28/$C$33</f>
        <v>127.733808318722</v>
      </c>
      <c r="L28" s="38" t="n">
        <f aca="false">J28*K28</f>
        <v>9992.85087972353</v>
      </c>
    </row>
    <row r="29" customFormat="false" ht="15" hidden="false" customHeight="false" outlineLevel="0" collapsed="false">
      <c r="A29" s="1"/>
      <c r="B29" s="29" t="s">
        <v>73</v>
      </c>
      <c r="C29" s="30" t="n">
        <v>30</v>
      </c>
      <c r="D29" s="31" t="n">
        <v>1</v>
      </c>
      <c r="E29" s="32" t="n">
        <v>0.454</v>
      </c>
      <c r="F29" s="33" t="n">
        <f aca="false">E29/AVERAGE($E$19:$E$30)</f>
        <v>0.824455205811138</v>
      </c>
      <c r="G29" s="33" t="n">
        <f aca="false">MAX(0,1+$C$13*(F29-1))</f>
        <v>0.789346246973366</v>
      </c>
      <c r="H29" s="34" t="n">
        <v>0.91</v>
      </c>
      <c r="I29" s="35" t="n">
        <f aca="false">IF(D29=1,MIN($C$14,$C$11*G29),0)</f>
        <v>0.394673123486683</v>
      </c>
      <c r="J29" s="36" t="n">
        <f aca="false">$C$9*C29*I29</f>
        <v>59.2009685230024</v>
      </c>
      <c r="K29" s="37" t="n">
        <f aca="false">$C$12*H29/$C$33</f>
        <v>121.081005802122</v>
      </c>
      <c r="L29" s="38" t="n">
        <f aca="false">J29*K29</f>
        <v>7168.11281322487</v>
      </c>
    </row>
    <row r="30" customFormat="false" ht="15" hidden="false" customHeight="false" outlineLevel="0" collapsed="false">
      <c r="A30" s="1"/>
      <c r="B30" s="29" t="s">
        <v>74</v>
      </c>
      <c r="C30" s="30" t="n">
        <v>31</v>
      </c>
      <c r="D30" s="31" t="n">
        <v>0</v>
      </c>
      <c r="E30" s="32" t="n">
        <v>0.401</v>
      </c>
      <c r="F30" s="33" t="n">
        <f aca="false">E30/AVERAGE($E$19:$E$30)</f>
        <v>0.728208232445521</v>
      </c>
      <c r="G30" s="33" t="n">
        <f aca="false">MAX(0,1+$C$13*(F30-1))</f>
        <v>0.673849878934625</v>
      </c>
      <c r="H30" s="34" t="n">
        <v>0.92</v>
      </c>
      <c r="I30" s="35" t="n">
        <f aca="false">IF(D30=1,MIN($C$14,$C$11*G30),0)</f>
        <v>0</v>
      </c>
      <c r="J30" s="36" t="n">
        <f aca="false">$C$9*C30*I30</f>
        <v>0</v>
      </c>
      <c r="K30" s="37" t="n">
        <f aca="false">$C$12*H30/$C$33</f>
        <v>122.411566305442</v>
      </c>
      <c r="L30" s="38" t="n">
        <f aca="false">J30*K30</f>
        <v>0</v>
      </c>
    </row>
    <row r="31" customFormat="false" ht="15" hidden="false" customHeight="false" outlineLevel="0" collapsed="false">
      <c r="A31" s="1"/>
      <c r="B31" s="39" t="s">
        <v>75</v>
      </c>
      <c r="C31" s="40" t="n">
        <f aca="false">SUM(C19:C30)</f>
        <v>365</v>
      </c>
      <c r="D31" s="41" t="n">
        <f aca="false">SUMPRODUCT(C19:C30,D19:D30)</f>
        <v>275</v>
      </c>
      <c r="E31" s="42" t="n">
        <f aca="false">AVERAGE(E19:E30)</f>
        <v>0.550666666666667</v>
      </c>
      <c r="F31" s="39"/>
      <c r="G31" s="39"/>
      <c r="H31" s="39"/>
      <c r="I31" s="42" t="n">
        <f aca="false">J31/($C$9*C31)</f>
        <v>0.419253043218681</v>
      </c>
      <c r="J31" s="40" t="n">
        <f aca="false">SUM(J19:J30)</f>
        <v>765.136803874092</v>
      </c>
      <c r="K31" s="43" t="n">
        <f aca="false">IF(J31=0,0,L31/J31)</f>
        <v>140</v>
      </c>
      <c r="L31" s="44" t="n">
        <f aca="false">SUM(L19:L30)</f>
        <v>107119.152542373</v>
      </c>
    </row>
    <row r="32" customFormat="false" ht="15" hidden="false" customHeight="false" outlineLevel="0" collapsed="false">
      <c r="A32" s="1"/>
      <c r="B32" s="45" t="s">
        <v>76</v>
      </c>
      <c r="C32" s="1"/>
      <c r="D32" s="1"/>
      <c r="E32" s="1"/>
      <c r="F32" s="1"/>
      <c r="G32" s="1"/>
      <c r="H32" s="1"/>
      <c r="I32" s="1"/>
      <c r="J32" s="1"/>
      <c r="K32" s="1"/>
      <c r="L32" s="1"/>
    </row>
    <row r="33" customFormat="false" ht="15" hidden="false" customHeight="false" outlineLevel="0" collapsed="false">
      <c r="A33" s="1"/>
      <c r="B33" s="46" t="s">
        <v>77</v>
      </c>
      <c r="C33" s="47" t="n">
        <f aca="false">IF(SUM(J19:J30)=0,1,SUMPRODUCT(J19:J30,H19:H30)/SUM(J19:J30))</f>
        <v>1.05218815417015</v>
      </c>
      <c r="D33" s="1"/>
      <c r="E33" s="1"/>
      <c r="F33" s="1"/>
      <c r="G33" s="1"/>
      <c r="H33" s="1"/>
      <c r="I33" s="1"/>
      <c r="J33" s="1"/>
      <c r="K33" s="1"/>
      <c r="L33" s="1"/>
    </row>
    <row r="34" customFormat="false" ht="15" hidden="false" customHeight="false" outlineLevel="0" collapsed="false">
      <c r="A34" s="1"/>
      <c r="B34" s="1"/>
      <c r="C34" s="1"/>
      <c r="D34" s="1"/>
      <c r="E34" s="1"/>
      <c r="F34" s="1"/>
      <c r="G34" s="1"/>
      <c r="H34" s="1"/>
      <c r="I34" s="1"/>
      <c r="J34" s="1"/>
      <c r="K34" s="1"/>
      <c r="L34" s="1"/>
    </row>
    <row r="35" customFormat="false" ht="19.5" hidden="false" customHeight="true" outlineLevel="0" collapsed="false">
      <c r="A35" s="1"/>
      <c r="B35" s="14" t="s">
        <v>78</v>
      </c>
      <c r="C35" s="15"/>
      <c r="D35" s="15"/>
      <c r="E35" s="15"/>
      <c r="F35" s="15"/>
      <c r="G35" s="15"/>
      <c r="H35" s="15"/>
      <c r="I35" s="15"/>
      <c r="J35" s="15"/>
      <c r="K35" s="15"/>
      <c r="L35" s="15"/>
    </row>
    <row r="36" customFormat="false" ht="25.5" hidden="false" customHeight="true" outlineLevel="0" collapsed="false">
      <c r="A36" s="1"/>
      <c r="B36" s="16" t="s">
        <v>26</v>
      </c>
      <c r="C36" s="17" t="s">
        <v>27</v>
      </c>
      <c r="D36" s="17" t="s">
        <v>28</v>
      </c>
      <c r="E36" s="17" t="s">
        <v>29</v>
      </c>
      <c r="F36" s="18" t="s">
        <v>30</v>
      </c>
      <c r="G36" s="18"/>
      <c r="H36" s="18"/>
      <c r="I36" s="18"/>
      <c r="J36" s="18"/>
      <c r="K36" s="18"/>
      <c r="L36" s="18"/>
    </row>
    <row r="37" customFormat="false" ht="18" hidden="false" customHeight="true" outlineLevel="0" collapsed="false">
      <c r="A37" s="1"/>
      <c r="B37" s="19" t="s">
        <v>79</v>
      </c>
      <c r="C37" s="48" t="n">
        <f aca="false">D31</f>
        <v>275</v>
      </c>
      <c r="D37" s="21" t="s">
        <v>80</v>
      </c>
      <c r="E37" s="27" t="s">
        <v>46</v>
      </c>
      <c r="F37" s="21" t="s">
        <v>81</v>
      </c>
      <c r="G37" s="21"/>
      <c r="H37" s="21"/>
      <c r="I37" s="21"/>
      <c r="J37" s="21"/>
      <c r="K37" s="21"/>
      <c r="L37" s="21"/>
    </row>
    <row r="38" customFormat="false" ht="18" hidden="false" customHeight="true" outlineLevel="0" collapsed="false">
      <c r="A38" s="1"/>
      <c r="B38" s="19" t="s">
        <v>82</v>
      </c>
      <c r="C38" s="48" t="n">
        <f aca="false">J31</f>
        <v>765.136803874092</v>
      </c>
      <c r="D38" s="21" t="s">
        <v>83</v>
      </c>
      <c r="E38" s="27" t="s">
        <v>46</v>
      </c>
      <c r="F38" s="21" t="s">
        <v>84</v>
      </c>
      <c r="G38" s="21"/>
      <c r="H38" s="21"/>
      <c r="I38" s="21"/>
      <c r="J38" s="21"/>
      <c r="K38" s="21"/>
      <c r="L38" s="21"/>
    </row>
    <row r="39" customFormat="false" ht="18" hidden="false" customHeight="true" outlineLevel="0" collapsed="false">
      <c r="A39" s="1"/>
      <c r="B39" s="19" t="s">
        <v>85</v>
      </c>
      <c r="C39" s="49" t="n">
        <f aca="false">I31</f>
        <v>0.419253043218681</v>
      </c>
      <c r="D39" s="21" t="s">
        <v>39</v>
      </c>
      <c r="E39" s="27" t="s">
        <v>46</v>
      </c>
      <c r="F39" s="21" t="s">
        <v>86</v>
      </c>
      <c r="G39" s="21"/>
      <c r="H39" s="21"/>
      <c r="I39" s="21"/>
      <c r="J39" s="21"/>
      <c r="K39" s="21"/>
      <c r="L39" s="21"/>
    </row>
    <row r="40" customFormat="false" ht="18" hidden="false" customHeight="true" outlineLevel="0" collapsed="false">
      <c r="A40" s="1"/>
      <c r="B40" s="19" t="s">
        <v>87</v>
      </c>
      <c r="C40" s="49" t="n">
        <f aca="false">IF($C$37=0,0,$C$38/($C$9*$C$37))</f>
        <v>0.556463130090249</v>
      </c>
      <c r="D40" s="21" t="s">
        <v>39</v>
      </c>
      <c r="E40" s="27" t="s">
        <v>46</v>
      </c>
      <c r="F40" s="21" t="s">
        <v>88</v>
      </c>
      <c r="G40" s="21"/>
      <c r="H40" s="21"/>
      <c r="I40" s="21"/>
      <c r="J40" s="21"/>
      <c r="K40" s="21"/>
      <c r="L40" s="21"/>
    </row>
    <row r="41" customFormat="false" ht="18" hidden="false" customHeight="true" outlineLevel="0" collapsed="false">
      <c r="A41" s="1"/>
      <c r="B41" s="19" t="s">
        <v>89</v>
      </c>
      <c r="C41" s="50" t="n">
        <f aca="false">K31</f>
        <v>140</v>
      </c>
      <c r="D41" s="21" t="s">
        <v>42</v>
      </c>
      <c r="E41" s="27" t="s">
        <v>46</v>
      </c>
      <c r="F41" s="21" t="s">
        <v>90</v>
      </c>
      <c r="G41" s="21"/>
      <c r="H41" s="21"/>
      <c r="I41" s="21"/>
      <c r="J41" s="21"/>
      <c r="K41" s="21"/>
      <c r="L41" s="21"/>
    </row>
    <row r="42" customFormat="false" ht="30" hidden="false" customHeight="true" outlineLevel="0" collapsed="false">
      <c r="A42" s="1"/>
      <c r="B42" s="19" t="s">
        <v>91</v>
      </c>
      <c r="C42" s="50" t="n">
        <f aca="false">L31/($C$9*C31)</f>
        <v>58.6954260506153</v>
      </c>
      <c r="D42" s="21" t="s">
        <v>42</v>
      </c>
      <c r="E42" s="27" t="s">
        <v>46</v>
      </c>
      <c r="F42" s="21" t="s">
        <v>92</v>
      </c>
      <c r="G42" s="21"/>
      <c r="H42" s="21"/>
      <c r="I42" s="21"/>
      <c r="J42" s="21"/>
      <c r="K42" s="21"/>
      <c r="L42" s="21"/>
    </row>
    <row r="43" customFormat="false" ht="18" hidden="false" customHeight="true" outlineLevel="0" collapsed="false">
      <c r="A43" s="1"/>
      <c r="B43" s="19" t="s">
        <v>93</v>
      </c>
      <c r="C43" s="51" t="n">
        <f aca="false">L31</f>
        <v>107119.152542373</v>
      </c>
      <c r="D43" s="21" t="s">
        <v>42</v>
      </c>
      <c r="E43" s="27" t="s">
        <v>46</v>
      </c>
      <c r="F43" s="21" t="s">
        <v>84</v>
      </c>
      <c r="G43" s="21"/>
      <c r="H43" s="21"/>
      <c r="I43" s="21"/>
      <c r="J43" s="21"/>
      <c r="K43" s="21"/>
      <c r="L43" s="21"/>
    </row>
    <row r="44" customFormat="false" ht="30" hidden="false" customHeight="true" outlineLevel="0" collapsed="false">
      <c r="A44" s="1"/>
      <c r="B44" s="19" t="s">
        <v>94</v>
      </c>
      <c r="C44" s="24" t="n">
        <v>0.25</v>
      </c>
      <c r="D44" s="21" t="s">
        <v>39</v>
      </c>
      <c r="E44" s="22" t="s">
        <v>33</v>
      </c>
      <c r="F44" s="21" t="s">
        <v>95</v>
      </c>
      <c r="G44" s="21"/>
      <c r="H44" s="21"/>
      <c r="I44" s="21"/>
      <c r="J44" s="21"/>
      <c r="K44" s="21"/>
      <c r="L44" s="21"/>
    </row>
    <row r="45" customFormat="false" ht="30" hidden="false" customHeight="true" outlineLevel="0" collapsed="false">
      <c r="A45" s="1"/>
      <c r="B45" s="19" t="s">
        <v>96</v>
      </c>
      <c r="C45" s="25" t="n">
        <v>32</v>
      </c>
      <c r="D45" s="21" t="s">
        <v>42</v>
      </c>
      <c r="E45" s="22" t="s">
        <v>33</v>
      </c>
      <c r="F45" s="21" t="s">
        <v>97</v>
      </c>
      <c r="G45" s="21"/>
      <c r="H45" s="21"/>
      <c r="I45" s="21"/>
      <c r="J45" s="21"/>
      <c r="K45" s="21"/>
      <c r="L45" s="21"/>
    </row>
    <row r="46" customFormat="false" ht="18" hidden="false" customHeight="true" outlineLevel="0" collapsed="false">
      <c r="A46" s="1"/>
      <c r="B46" s="19" t="s">
        <v>98</v>
      </c>
      <c r="C46" s="51" t="n">
        <f aca="false">$C$38*$C$44*$C$10*$C$45</f>
        <v>12242.1888619855</v>
      </c>
      <c r="D46" s="21" t="s">
        <v>42</v>
      </c>
      <c r="E46" s="27" t="s">
        <v>46</v>
      </c>
      <c r="F46" s="21" t="s">
        <v>99</v>
      </c>
      <c r="G46" s="21"/>
      <c r="H46" s="21"/>
      <c r="I46" s="21"/>
      <c r="J46" s="21"/>
      <c r="K46" s="21"/>
      <c r="L46" s="21"/>
    </row>
    <row r="47" customFormat="false" ht="30" hidden="false" customHeight="true" outlineLevel="0" collapsed="false">
      <c r="A47" s="1"/>
      <c r="B47" s="19" t="s">
        <v>100</v>
      </c>
      <c r="C47" s="24" t="n">
        <v>0</v>
      </c>
      <c r="D47" s="21" t="s">
        <v>39</v>
      </c>
      <c r="E47" s="22" t="s">
        <v>33</v>
      </c>
      <c r="F47" s="21" t="s">
        <v>101</v>
      </c>
      <c r="G47" s="21"/>
      <c r="H47" s="21"/>
      <c r="I47" s="21"/>
      <c r="J47" s="21"/>
      <c r="K47" s="21"/>
      <c r="L47" s="21"/>
    </row>
    <row r="48" customFormat="false" ht="18" hidden="false" customHeight="true" outlineLevel="0" collapsed="false">
      <c r="A48" s="1"/>
      <c r="B48" s="19" t="s">
        <v>102</v>
      </c>
      <c r="C48" s="51" t="n">
        <f aca="false">$C$43*$C$47</f>
        <v>0</v>
      </c>
      <c r="D48" s="21" t="s">
        <v>42</v>
      </c>
      <c r="E48" s="27" t="s">
        <v>46</v>
      </c>
      <c r="F48" s="21" t="s">
        <v>92</v>
      </c>
      <c r="G48" s="21"/>
      <c r="H48" s="21"/>
      <c r="I48" s="21"/>
      <c r="J48" s="21"/>
      <c r="K48" s="21"/>
      <c r="L48" s="21"/>
    </row>
    <row r="49" customFormat="false" ht="30" hidden="false" customHeight="true" outlineLevel="0" collapsed="false">
      <c r="A49" s="1"/>
      <c r="B49" s="19" t="s">
        <v>103</v>
      </c>
      <c r="C49" s="52" t="n">
        <f aca="false">$C$43+$C$46+$C$48</f>
        <v>119361.341404358</v>
      </c>
      <c r="D49" s="21" t="s">
        <v>42</v>
      </c>
      <c r="E49" s="27" t="s">
        <v>46</v>
      </c>
      <c r="F49" s="21" t="s">
        <v>104</v>
      </c>
      <c r="G49" s="21"/>
      <c r="H49" s="21"/>
      <c r="I49" s="21"/>
      <c r="J49" s="21"/>
      <c r="K49" s="21"/>
      <c r="L49" s="21"/>
    </row>
    <row r="50" customFormat="false" ht="15" hidden="false" customHeight="false" outlineLevel="0" collapsed="false">
      <c r="A50" s="1"/>
      <c r="B50" s="1"/>
      <c r="C50" s="1"/>
      <c r="D50" s="1"/>
      <c r="E50" s="1"/>
      <c r="F50" s="1"/>
      <c r="G50" s="1"/>
      <c r="H50" s="1"/>
      <c r="I50" s="1"/>
      <c r="J50" s="1"/>
      <c r="K50" s="1"/>
      <c r="L50" s="1"/>
    </row>
    <row r="51" customFormat="false" ht="19.5" hidden="false" customHeight="true" outlineLevel="0" collapsed="false">
      <c r="A51" s="1"/>
      <c r="B51" s="14" t="s">
        <v>105</v>
      </c>
      <c r="C51" s="15"/>
      <c r="D51" s="15"/>
      <c r="E51" s="15"/>
      <c r="F51" s="15"/>
      <c r="G51" s="15"/>
      <c r="H51" s="15"/>
      <c r="I51" s="15"/>
      <c r="J51" s="15"/>
      <c r="K51" s="15"/>
      <c r="L51" s="15"/>
    </row>
    <row r="52" customFormat="false" ht="25.5" hidden="false" customHeight="true" outlineLevel="0" collapsed="false">
      <c r="A52" s="1"/>
      <c r="B52" s="16" t="s">
        <v>26</v>
      </c>
      <c r="C52" s="17" t="s">
        <v>27</v>
      </c>
      <c r="D52" s="17" t="s">
        <v>28</v>
      </c>
      <c r="E52" s="17" t="s">
        <v>29</v>
      </c>
      <c r="F52" s="18" t="s">
        <v>30</v>
      </c>
      <c r="G52" s="18"/>
      <c r="H52" s="18"/>
      <c r="I52" s="18"/>
      <c r="J52" s="18"/>
      <c r="K52" s="18"/>
      <c r="L52" s="18"/>
    </row>
    <row r="53" customFormat="false" ht="30" hidden="false" customHeight="true" outlineLevel="0" collapsed="false">
      <c r="A53" s="1"/>
      <c r="B53" s="19" t="s">
        <v>106</v>
      </c>
      <c r="C53" s="24" t="n">
        <v>0.92</v>
      </c>
      <c r="D53" s="21" t="s">
        <v>39</v>
      </c>
      <c r="E53" s="22" t="s">
        <v>33</v>
      </c>
      <c r="F53" s="21" t="s">
        <v>107</v>
      </c>
      <c r="G53" s="21"/>
      <c r="H53" s="21"/>
      <c r="I53" s="21"/>
      <c r="J53" s="21"/>
      <c r="K53" s="21"/>
      <c r="L53" s="21"/>
    </row>
    <row r="54" customFormat="false" ht="30" hidden="false" customHeight="true" outlineLevel="0" collapsed="false">
      <c r="A54" s="1"/>
      <c r="B54" s="19" t="s">
        <v>108</v>
      </c>
      <c r="C54" s="24" t="n">
        <v>0.97</v>
      </c>
      <c r="D54" s="21" t="s">
        <v>39</v>
      </c>
      <c r="E54" s="22" t="s">
        <v>33</v>
      </c>
      <c r="F54" s="21" t="s">
        <v>109</v>
      </c>
      <c r="G54" s="21"/>
      <c r="H54" s="21"/>
      <c r="I54" s="21"/>
      <c r="J54" s="21"/>
      <c r="K54" s="21"/>
      <c r="L54" s="21"/>
    </row>
    <row r="55" customFormat="false" ht="30" hidden="false" customHeight="true" outlineLevel="0" collapsed="false">
      <c r="A55" s="1"/>
      <c r="B55" s="19" t="s">
        <v>110</v>
      </c>
      <c r="C55" s="24" t="n">
        <v>1</v>
      </c>
      <c r="D55" s="21" t="s">
        <v>39</v>
      </c>
      <c r="E55" s="22" t="s">
        <v>33</v>
      </c>
      <c r="F55" s="21" t="s">
        <v>111</v>
      </c>
      <c r="G55" s="21"/>
      <c r="H55" s="21"/>
      <c r="I55" s="21"/>
      <c r="J55" s="21"/>
      <c r="K55" s="21"/>
      <c r="L55" s="21"/>
    </row>
    <row r="56" customFormat="false" ht="30" hidden="false" customHeight="true" outlineLevel="0" collapsed="false">
      <c r="A56" s="1"/>
      <c r="B56" s="19" t="s">
        <v>112</v>
      </c>
      <c r="C56" s="24" t="n">
        <v>0.02</v>
      </c>
      <c r="D56" s="21" t="s">
        <v>113</v>
      </c>
      <c r="E56" s="22" t="s">
        <v>33</v>
      </c>
      <c r="F56" s="21" t="s">
        <v>114</v>
      </c>
      <c r="G56" s="21"/>
      <c r="H56" s="21"/>
      <c r="I56" s="21"/>
      <c r="J56" s="21"/>
      <c r="K56" s="21"/>
      <c r="L56" s="21"/>
    </row>
    <row r="57" customFormat="false" ht="30" hidden="false" customHeight="true" outlineLevel="0" collapsed="false">
      <c r="A57" s="1"/>
      <c r="B57" s="19" t="s">
        <v>115</v>
      </c>
      <c r="C57" s="24" t="n">
        <v>0.02</v>
      </c>
      <c r="D57" s="21" t="s">
        <v>113</v>
      </c>
      <c r="E57" s="22" t="s">
        <v>33</v>
      </c>
      <c r="F57" s="21" t="s">
        <v>116</v>
      </c>
      <c r="G57" s="21"/>
      <c r="H57" s="21"/>
      <c r="I57" s="21"/>
      <c r="J57" s="21"/>
      <c r="K57" s="21"/>
      <c r="L57" s="21"/>
    </row>
    <row r="58" customFormat="false" ht="30" hidden="false" customHeight="true" outlineLevel="0" collapsed="false">
      <c r="A58" s="1"/>
      <c r="B58" s="19" t="s">
        <v>117</v>
      </c>
      <c r="C58" s="24" t="n">
        <v>0.025</v>
      </c>
      <c r="D58" s="21" t="s">
        <v>113</v>
      </c>
      <c r="E58" s="22" t="s">
        <v>33</v>
      </c>
      <c r="F58" s="21" t="s">
        <v>118</v>
      </c>
      <c r="G58" s="21"/>
      <c r="H58" s="21"/>
      <c r="I58" s="21"/>
      <c r="J58" s="21"/>
      <c r="K58" s="21"/>
      <c r="L58" s="21"/>
    </row>
    <row r="59" customFormat="false" ht="15" hidden="false" customHeight="false" outlineLevel="0" collapsed="false">
      <c r="A59" s="1"/>
      <c r="B59" s="1"/>
      <c r="C59" s="1"/>
      <c r="D59" s="1"/>
      <c r="E59" s="1"/>
      <c r="F59" s="1"/>
      <c r="G59" s="1"/>
      <c r="H59" s="1"/>
      <c r="I59" s="1"/>
      <c r="J59" s="1"/>
      <c r="K59" s="1"/>
      <c r="L59" s="1"/>
    </row>
    <row r="60" customFormat="false" ht="19.5" hidden="false" customHeight="true" outlineLevel="0" collapsed="false">
      <c r="A60" s="1"/>
      <c r="B60" s="14" t="s">
        <v>119</v>
      </c>
      <c r="C60" s="15"/>
      <c r="D60" s="15"/>
      <c r="E60" s="15"/>
      <c r="F60" s="15"/>
      <c r="G60" s="15"/>
      <c r="H60" s="15"/>
      <c r="I60" s="15"/>
      <c r="J60" s="15"/>
      <c r="K60" s="15"/>
      <c r="L60" s="15"/>
    </row>
    <row r="61" customFormat="false" ht="25.5" hidden="false" customHeight="true" outlineLevel="0" collapsed="false">
      <c r="A61" s="1"/>
      <c r="B61" s="16" t="s">
        <v>26</v>
      </c>
      <c r="C61" s="17" t="s">
        <v>27</v>
      </c>
      <c r="D61" s="17" t="s">
        <v>28</v>
      </c>
      <c r="E61" s="17" t="s">
        <v>29</v>
      </c>
      <c r="F61" s="18" t="s">
        <v>30</v>
      </c>
      <c r="G61" s="18"/>
      <c r="H61" s="18"/>
      <c r="I61" s="18"/>
      <c r="J61" s="18"/>
      <c r="K61" s="18"/>
      <c r="L61" s="18"/>
    </row>
    <row r="62" customFormat="false" ht="30" hidden="false" customHeight="true" outlineLevel="0" collapsed="false">
      <c r="A62" s="1"/>
      <c r="B62" s="19" t="s">
        <v>120</v>
      </c>
      <c r="C62" s="24" t="n">
        <v>0.31</v>
      </c>
      <c r="D62" s="21" t="s">
        <v>39</v>
      </c>
      <c r="E62" s="27" t="s">
        <v>46</v>
      </c>
      <c r="F62" s="21" t="s">
        <v>121</v>
      </c>
      <c r="G62" s="21"/>
      <c r="H62" s="21"/>
      <c r="I62" s="21"/>
      <c r="J62" s="21"/>
      <c r="K62" s="21"/>
      <c r="L62" s="21"/>
    </row>
    <row r="63" customFormat="false" ht="30" hidden="false" customHeight="true" outlineLevel="0" collapsed="false">
      <c r="A63" s="1"/>
      <c r="B63" s="19" t="s">
        <v>122</v>
      </c>
      <c r="C63" s="25" t="n">
        <v>4</v>
      </c>
      <c r="D63" s="21" t="s">
        <v>123</v>
      </c>
      <c r="E63" s="22" t="s">
        <v>33</v>
      </c>
      <c r="F63" s="21" t="s">
        <v>124</v>
      </c>
      <c r="G63" s="21"/>
      <c r="H63" s="21"/>
      <c r="I63" s="21"/>
      <c r="J63" s="21"/>
      <c r="K63" s="21"/>
      <c r="L63" s="21"/>
    </row>
    <row r="64" customFormat="false" ht="30" hidden="false" customHeight="true" outlineLevel="0" collapsed="false">
      <c r="A64" s="1"/>
      <c r="B64" s="19" t="s">
        <v>125</v>
      </c>
      <c r="C64" s="24" t="n">
        <v>0.3</v>
      </c>
      <c r="D64" s="21" t="s">
        <v>39</v>
      </c>
      <c r="E64" s="53" t="s">
        <v>126</v>
      </c>
      <c r="F64" s="21" t="s">
        <v>127</v>
      </c>
      <c r="G64" s="21"/>
      <c r="H64" s="21"/>
      <c r="I64" s="21"/>
      <c r="J64" s="21"/>
      <c r="K64" s="21"/>
      <c r="L64" s="21"/>
    </row>
    <row r="65" customFormat="false" ht="30" hidden="false" customHeight="true" outlineLevel="0" collapsed="false">
      <c r="A65" s="1"/>
      <c r="B65" s="19" t="s">
        <v>128</v>
      </c>
      <c r="C65" s="24" t="n">
        <v>0.17</v>
      </c>
      <c r="D65" s="21" t="s">
        <v>39</v>
      </c>
      <c r="E65" s="53" t="s">
        <v>126</v>
      </c>
      <c r="F65" s="21" t="s">
        <v>129</v>
      </c>
      <c r="G65" s="21"/>
      <c r="H65" s="21"/>
      <c r="I65" s="21"/>
      <c r="J65" s="21"/>
      <c r="K65" s="21"/>
      <c r="L65" s="21"/>
    </row>
    <row r="66" customFormat="false" ht="30" hidden="false" customHeight="true" outlineLevel="0" collapsed="false">
      <c r="A66" s="1"/>
      <c r="B66" s="19" t="s">
        <v>130</v>
      </c>
      <c r="C66" s="24" t="n">
        <v>0.015</v>
      </c>
      <c r="D66" s="21" t="s">
        <v>39</v>
      </c>
      <c r="E66" s="22" t="s">
        <v>33</v>
      </c>
      <c r="F66" s="21" t="s">
        <v>131</v>
      </c>
      <c r="G66" s="21"/>
      <c r="H66" s="21"/>
      <c r="I66" s="21"/>
      <c r="J66" s="21"/>
      <c r="K66" s="21"/>
      <c r="L66" s="21"/>
    </row>
    <row r="67" customFormat="false" ht="30" hidden="false" customHeight="true" outlineLevel="0" collapsed="false">
      <c r="A67" s="1"/>
      <c r="B67" s="19" t="s">
        <v>132</v>
      </c>
      <c r="C67" s="24" t="n">
        <v>0.04</v>
      </c>
      <c r="D67" s="21" t="s">
        <v>39</v>
      </c>
      <c r="E67" s="22" t="s">
        <v>33</v>
      </c>
      <c r="F67" s="21" t="s">
        <v>133</v>
      </c>
      <c r="G67" s="21"/>
      <c r="H67" s="21"/>
      <c r="I67" s="21"/>
      <c r="J67" s="21"/>
      <c r="K67" s="21"/>
      <c r="L67" s="21"/>
    </row>
    <row r="68" customFormat="false" ht="30" hidden="false" customHeight="true" outlineLevel="0" collapsed="false">
      <c r="A68" s="1"/>
      <c r="B68" s="19" t="s">
        <v>134</v>
      </c>
      <c r="C68" s="24" t="n">
        <v>0.02</v>
      </c>
      <c r="D68" s="21" t="s">
        <v>39</v>
      </c>
      <c r="E68" s="22" t="s">
        <v>33</v>
      </c>
      <c r="F68" s="21" t="s">
        <v>109</v>
      </c>
      <c r="G68" s="21"/>
      <c r="H68" s="21"/>
      <c r="I68" s="21"/>
      <c r="J68" s="21"/>
      <c r="K68" s="21"/>
      <c r="L68" s="21"/>
    </row>
    <row r="69" customFormat="false" ht="15" hidden="false" customHeight="false" outlineLevel="0" collapsed="false">
      <c r="A69" s="1"/>
      <c r="B69" s="1"/>
      <c r="C69" s="1"/>
      <c r="D69" s="1"/>
      <c r="E69" s="1"/>
      <c r="F69" s="1"/>
      <c r="G69" s="1"/>
      <c r="H69" s="1"/>
      <c r="I69" s="1"/>
      <c r="J69" s="1"/>
      <c r="K69" s="1"/>
      <c r="L69" s="1"/>
    </row>
    <row r="70" customFormat="false" ht="19.5" hidden="false" customHeight="true" outlineLevel="0" collapsed="false">
      <c r="A70" s="1"/>
      <c r="B70" s="14" t="s">
        <v>135</v>
      </c>
      <c r="C70" s="15"/>
      <c r="D70" s="15"/>
      <c r="E70" s="15"/>
      <c r="F70" s="15"/>
      <c r="G70" s="15"/>
      <c r="H70" s="15"/>
      <c r="I70" s="15"/>
      <c r="J70" s="15"/>
      <c r="K70" s="15"/>
      <c r="L70" s="15"/>
    </row>
    <row r="71" customFormat="false" ht="25.5" hidden="false" customHeight="true" outlineLevel="0" collapsed="false">
      <c r="A71" s="1"/>
      <c r="B71" s="16" t="s">
        <v>26</v>
      </c>
      <c r="C71" s="17" t="s">
        <v>27</v>
      </c>
      <c r="D71" s="17" t="s">
        <v>28</v>
      </c>
      <c r="E71" s="17" t="s">
        <v>29</v>
      </c>
      <c r="F71" s="18" t="s">
        <v>30</v>
      </c>
      <c r="G71" s="18"/>
      <c r="H71" s="18"/>
      <c r="I71" s="18"/>
      <c r="J71" s="18"/>
      <c r="K71" s="18"/>
      <c r="L71" s="18"/>
    </row>
    <row r="72" customFormat="false" ht="30" hidden="false" customHeight="true" outlineLevel="0" collapsed="false">
      <c r="A72" s="1"/>
      <c r="B72" s="19" t="s">
        <v>136</v>
      </c>
      <c r="C72" s="20" t="n">
        <v>600</v>
      </c>
      <c r="D72" s="21" t="s">
        <v>137</v>
      </c>
      <c r="E72" s="22" t="s">
        <v>33</v>
      </c>
      <c r="F72" s="21" t="s">
        <v>138</v>
      </c>
      <c r="G72" s="21"/>
      <c r="H72" s="21"/>
      <c r="I72" s="21"/>
      <c r="J72" s="21"/>
      <c r="K72" s="21"/>
      <c r="L72" s="21"/>
    </row>
    <row r="73" customFormat="false" ht="30" hidden="false" customHeight="true" outlineLevel="0" collapsed="false">
      <c r="A73" s="1"/>
      <c r="B73" s="19" t="s">
        <v>139</v>
      </c>
      <c r="C73" s="25" t="n">
        <v>16</v>
      </c>
      <c r="D73" s="21" t="s">
        <v>140</v>
      </c>
      <c r="E73" s="22" t="s">
        <v>33</v>
      </c>
      <c r="F73" s="21" t="s">
        <v>141</v>
      </c>
      <c r="G73" s="21"/>
      <c r="H73" s="21"/>
      <c r="I73" s="21"/>
      <c r="J73" s="21"/>
      <c r="K73" s="21"/>
      <c r="L73" s="21"/>
    </row>
    <row r="74" customFormat="false" ht="30" hidden="false" customHeight="true" outlineLevel="0" collapsed="false">
      <c r="A74" s="1"/>
      <c r="B74" s="19" t="s">
        <v>142</v>
      </c>
      <c r="C74" s="24" t="n">
        <v>0.038</v>
      </c>
      <c r="D74" s="21" t="s">
        <v>39</v>
      </c>
      <c r="E74" s="53" t="s">
        <v>126</v>
      </c>
      <c r="F74" s="21" t="s">
        <v>143</v>
      </c>
      <c r="G74" s="21"/>
      <c r="H74" s="21"/>
      <c r="I74" s="21"/>
      <c r="J74" s="21"/>
      <c r="K74" s="21"/>
      <c r="L74" s="21"/>
    </row>
    <row r="75" customFormat="false" ht="30" hidden="false" customHeight="true" outlineLevel="0" collapsed="false">
      <c r="A75" s="1"/>
      <c r="B75" s="19" t="s">
        <v>144</v>
      </c>
      <c r="C75" s="24" t="n">
        <v>0.03</v>
      </c>
      <c r="D75" s="21" t="s">
        <v>39</v>
      </c>
      <c r="E75" s="22" t="s">
        <v>33</v>
      </c>
      <c r="F75" s="21" t="s">
        <v>145</v>
      </c>
      <c r="G75" s="21"/>
      <c r="H75" s="21"/>
      <c r="I75" s="21"/>
      <c r="J75" s="21"/>
      <c r="K75" s="21"/>
      <c r="L75" s="21"/>
    </row>
    <row r="76" customFormat="false" ht="30" hidden="false" customHeight="true" outlineLevel="0" collapsed="false">
      <c r="A76" s="1"/>
      <c r="B76" s="19" t="s">
        <v>146</v>
      </c>
      <c r="C76" s="24" t="n">
        <v>0.03</v>
      </c>
      <c r="D76" s="21" t="s">
        <v>39</v>
      </c>
      <c r="E76" s="22" t="s">
        <v>33</v>
      </c>
      <c r="F76" s="21" t="s">
        <v>147</v>
      </c>
      <c r="G76" s="21"/>
      <c r="H76" s="21"/>
      <c r="I76" s="21"/>
      <c r="J76" s="21"/>
      <c r="K76" s="21"/>
      <c r="L76" s="21"/>
    </row>
    <row r="77" customFormat="false" ht="30" hidden="false" customHeight="true" outlineLevel="0" collapsed="false">
      <c r="A77" s="1"/>
      <c r="B77" s="19" t="s">
        <v>148</v>
      </c>
      <c r="C77" s="24" t="n">
        <v>0.03</v>
      </c>
      <c r="D77" s="21" t="s">
        <v>39</v>
      </c>
      <c r="E77" s="22" t="s">
        <v>33</v>
      </c>
      <c r="F77" s="21" t="s">
        <v>109</v>
      </c>
      <c r="G77" s="21"/>
      <c r="H77" s="21"/>
      <c r="I77" s="21"/>
      <c r="J77" s="21"/>
      <c r="K77" s="21"/>
      <c r="L77" s="21"/>
    </row>
    <row r="78" customFormat="false" ht="30" hidden="false" customHeight="true" outlineLevel="0" collapsed="false">
      <c r="A78" s="1"/>
      <c r="B78" s="19" t="s">
        <v>149</v>
      </c>
      <c r="C78" s="54" t="n">
        <v>1500</v>
      </c>
      <c r="D78" s="21" t="s">
        <v>150</v>
      </c>
      <c r="E78" s="22" t="s">
        <v>33</v>
      </c>
      <c r="F78" s="21" t="s">
        <v>151</v>
      </c>
      <c r="G78" s="21"/>
      <c r="H78" s="21"/>
      <c r="I78" s="21"/>
      <c r="J78" s="21"/>
      <c r="K78" s="21"/>
      <c r="L78" s="21"/>
    </row>
    <row r="79" customFormat="false" ht="30" hidden="false" customHeight="true" outlineLevel="0" collapsed="false">
      <c r="A79" s="1"/>
      <c r="B79" s="19" t="s">
        <v>152</v>
      </c>
      <c r="C79" s="54" t="n">
        <v>1500</v>
      </c>
      <c r="D79" s="21" t="s">
        <v>150</v>
      </c>
      <c r="E79" s="22" t="s">
        <v>33</v>
      </c>
      <c r="F79" s="21" t="s">
        <v>109</v>
      </c>
      <c r="G79" s="21"/>
      <c r="H79" s="21"/>
      <c r="I79" s="21"/>
      <c r="J79" s="21"/>
      <c r="K79" s="21"/>
      <c r="L79" s="21"/>
    </row>
    <row r="80" customFormat="false" ht="30" hidden="false" customHeight="true" outlineLevel="0" collapsed="false">
      <c r="A80" s="1"/>
      <c r="B80" s="19" t="s">
        <v>153</v>
      </c>
      <c r="C80" s="54" t="n">
        <v>2500</v>
      </c>
      <c r="D80" s="21" t="s">
        <v>150</v>
      </c>
      <c r="E80" s="22" t="s">
        <v>33</v>
      </c>
      <c r="F80" s="21" t="s">
        <v>154</v>
      </c>
      <c r="G80" s="21"/>
      <c r="H80" s="21"/>
      <c r="I80" s="21"/>
      <c r="J80" s="21"/>
      <c r="K80" s="21"/>
      <c r="L80" s="21"/>
    </row>
    <row r="81" customFormat="false" ht="30" hidden="false" customHeight="true" outlineLevel="0" collapsed="false">
      <c r="A81" s="1"/>
      <c r="B81" s="19" t="s">
        <v>155</v>
      </c>
      <c r="C81" s="24" t="n">
        <v>0.02</v>
      </c>
      <c r="D81" s="21" t="s">
        <v>39</v>
      </c>
      <c r="E81" s="22" t="s">
        <v>33</v>
      </c>
      <c r="F81" s="21" t="s">
        <v>109</v>
      </c>
      <c r="G81" s="21"/>
      <c r="H81" s="21"/>
      <c r="I81" s="21"/>
      <c r="J81" s="21"/>
      <c r="K81" s="21"/>
      <c r="L81" s="21"/>
    </row>
    <row r="82" customFormat="false" ht="30" hidden="false" customHeight="true" outlineLevel="0" collapsed="false">
      <c r="A82" s="1"/>
      <c r="B82" s="19" t="s">
        <v>156</v>
      </c>
      <c r="C82" s="24" t="n">
        <v>0.04</v>
      </c>
      <c r="D82" s="21" t="s">
        <v>39</v>
      </c>
      <c r="E82" s="53" t="s">
        <v>126</v>
      </c>
      <c r="F82" s="21" t="s">
        <v>157</v>
      </c>
      <c r="G82" s="21"/>
      <c r="H82" s="21"/>
      <c r="I82" s="21"/>
      <c r="J82" s="21"/>
      <c r="K82" s="21"/>
      <c r="L82" s="21"/>
    </row>
    <row r="83" customFormat="false" ht="15" hidden="false" customHeight="false" outlineLevel="0" collapsed="false">
      <c r="A83" s="1"/>
      <c r="B83" s="1"/>
      <c r="C83" s="1"/>
      <c r="D83" s="1"/>
      <c r="E83" s="1"/>
      <c r="F83" s="1"/>
      <c r="G83" s="1"/>
      <c r="H83" s="1"/>
      <c r="I83" s="1"/>
      <c r="J83" s="1"/>
      <c r="K83" s="1"/>
      <c r="L83" s="1"/>
    </row>
    <row r="84" customFormat="false" ht="19.5" hidden="false" customHeight="true" outlineLevel="0" collapsed="false">
      <c r="A84" s="1"/>
      <c r="B84" s="14" t="s">
        <v>158</v>
      </c>
      <c r="C84" s="15"/>
      <c r="D84" s="15"/>
      <c r="E84" s="15"/>
      <c r="F84" s="15"/>
      <c r="G84" s="15"/>
      <c r="H84" s="15"/>
      <c r="I84" s="15"/>
      <c r="J84" s="15"/>
      <c r="K84" s="15"/>
      <c r="L84" s="15"/>
    </row>
    <row r="85" customFormat="false" ht="25.5" hidden="false" customHeight="true" outlineLevel="0" collapsed="false">
      <c r="A85" s="1"/>
      <c r="B85" s="16" t="s">
        <v>26</v>
      </c>
      <c r="C85" s="17" t="s">
        <v>27</v>
      </c>
      <c r="D85" s="17" t="s">
        <v>28</v>
      </c>
      <c r="E85" s="17" t="s">
        <v>29</v>
      </c>
      <c r="F85" s="18" t="s">
        <v>30</v>
      </c>
      <c r="G85" s="18"/>
      <c r="H85" s="18"/>
      <c r="I85" s="18"/>
      <c r="J85" s="18"/>
      <c r="K85" s="18"/>
      <c r="L85" s="18"/>
    </row>
    <row r="86" customFormat="false" ht="30" hidden="false" customHeight="true" outlineLevel="0" collapsed="false">
      <c r="A86" s="1"/>
      <c r="B86" s="19" t="s">
        <v>159</v>
      </c>
      <c r="C86" s="54" t="n">
        <v>520000</v>
      </c>
      <c r="D86" s="21" t="s">
        <v>123</v>
      </c>
      <c r="E86" s="22" t="s">
        <v>33</v>
      </c>
      <c r="F86" s="21" t="s">
        <v>160</v>
      </c>
      <c r="G86" s="21"/>
      <c r="H86" s="21"/>
      <c r="I86" s="21"/>
      <c r="J86" s="21"/>
      <c r="K86" s="21"/>
      <c r="L86" s="21"/>
    </row>
    <row r="87" customFormat="false" ht="30" hidden="false" customHeight="true" outlineLevel="0" collapsed="false">
      <c r="A87" s="1"/>
      <c r="B87" s="19" t="s">
        <v>161</v>
      </c>
      <c r="C87" s="24" t="n">
        <v>0.6</v>
      </c>
      <c r="D87" s="21" t="s">
        <v>39</v>
      </c>
      <c r="E87" s="22" t="s">
        <v>33</v>
      </c>
      <c r="F87" s="21" t="s">
        <v>162</v>
      </c>
      <c r="G87" s="21"/>
      <c r="H87" s="21"/>
      <c r="I87" s="21"/>
      <c r="J87" s="21"/>
      <c r="K87" s="21"/>
      <c r="L87" s="21"/>
    </row>
    <row r="88" customFormat="false" ht="30" hidden="false" customHeight="true" outlineLevel="0" collapsed="false">
      <c r="A88" s="1"/>
      <c r="B88" s="19" t="s">
        <v>163</v>
      </c>
      <c r="C88" s="54" t="n">
        <v>25000</v>
      </c>
      <c r="D88" s="21" t="s">
        <v>164</v>
      </c>
      <c r="E88" s="53" t="s">
        <v>126</v>
      </c>
      <c r="F88" s="21" t="s">
        <v>165</v>
      </c>
      <c r="G88" s="21"/>
      <c r="H88" s="21"/>
      <c r="I88" s="21"/>
      <c r="J88" s="21"/>
      <c r="K88" s="21"/>
      <c r="L88" s="21"/>
    </row>
    <row r="89" customFormat="false" ht="30" hidden="false" customHeight="true" outlineLevel="0" collapsed="false">
      <c r="A89" s="1"/>
      <c r="B89" s="19" t="s">
        <v>166</v>
      </c>
      <c r="C89" s="54" t="n">
        <v>30000</v>
      </c>
      <c r="D89" s="21" t="s">
        <v>123</v>
      </c>
      <c r="E89" s="22" t="s">
        <v>33</v>
      </c>
      <c r="F89" s="21" t="s">
        <v>151</v>
      </c>
      <c r="G89" s="21"/>
      <c r="H89" s="21"/>
      <c r="I89" s="21"/>
      <c r="J89" s="21"/>
      <c r="K89" s="21"/>
      <c r="L89" s="21"/>
    </row>
    <row r="90" customFormat="false" ht="15" hidden="false" customHeight="false" outlineLevel="0" collapsed="false">
      <c r="A90" s="1"/>
      <c r="B90" s="1"/>
      <c r="C90" s="1"/>
      <c r="D90" s="1"/>
      <c r="E90" s="1"/>
      <c r="F90" s="1"/>
      <c r="G90" s="1"/>
      <c r="H90" s="1"/>
      <c r="I90" s="1"/>
      <c r="J90" s="1"/>
      <c r="K90" s="1"/>
      <c r="L90" s="1"/>
    </row>
    <row r="91" customFormat="false" ht="19.5" hidden="false" customHeight="true" outlineLevel="0" collapsed="false">
      <c r="A91" s="1"/>
      <c r="B91" s="14" t="s">
        <v>167</v>
      </c>
      <c r="C91" s="15"/>
      <c r="D91" s="15"/>
      <c r="E91" s="15"/>
      <c r="F91" s="15"/>
      <c r="G91" s="15"/>
      <c r="H91" s="15"/>
      <c r="I91" s="15"/>
      <c r="J91" s="15"/>
      <c r="K91" s="15"/>
      <c r="L91" s="15"/>
    </row>
    <row r="92" customFormat="false" ht="25.5" hidden="false" customHeight="true" outlineLevel="0" collapsed="false">
      <c r="A92" s="1"/>
      <c r="B92" s="16" t="s">
        <v>26</v>
      </c>
      <c r="C92" s="17" t="s">
        <v>27</v>
      </c>
      <c r="D92" s="17" t="s">
        <v>28</v>
      </c>
      <c r="E92" s="17" t="s">
        <v>29</v>
      </c>
      <c r="F92" s="18" t="s">
        <v>30</v>
      </c>
      <c r="G92" s="18"/>
      <c r="H92" s="18"/>
      <c r="I92" s="18"/>
      <c r="J92" s="18"/>
      <c r="K92" s="18"/>
      <c r="L92" s="18"/>
    </row>
    <row r="93" customFormat="false" ht="79.5" hidden="false" customHeight="true" outlineLevel="0" collapsed="false">
      <c r="A93" s="1"/>
      <c r="B93" s="19" t="s">
        <v>168</v>
      </c>
      <c r="C93" s="24" t="n">
        <v>0.078</v>
      </c>
      <c r="D93" s="21" t="s">
        <v>39</v>
      </c>
      <c r="E93" s="53" t="s">
        <v>126</v>
      </c>
      <c r="F93" s="21" t="s">
        <v>169</v>
      </c>
      <c r="G93" s="21"/>
      <c r="H93" s="21"/>
      <c r="I93" s="21"/>
      <c r="J93" s="21"/>
      <c r="K93" s="21"/>
      <c r="L93" s="21"/>
    </row>
    <row r="94" customFormat="false" ht="30" hidden="false" customHeight="true" outlineLevel="0" collapsed="false">
      <c r="A94" s="1"/>
      <c r="B94" s="19" t="s">
        <v>170</v>
      </c>
      <c r="C94" s="55" t="n">
        <v>0.063185</v>
      </c>
      <c r="D94" s="21" t="s">
        <v>39</v>
      </c>
      <c r="E94" s="53" t="s">
        <v>126</v>
      </c>
      <c r="F94" s="21" t="s">
        <v>171</v>
      </c>
      <c r="G94" s="21"/>
      <c r="H94" s="21"/>
      <c r="I94" s="21"/>
      <c r="J94" s="21"/>
      <c r="K94" s="21"/>
      <c r="L94" s="21"/>
    </row>
    <row r="95" customFormat="false" ht="30" hidden="false" customHeight="true" outlineLevel="0" collapsed="false">
      <c r="A95" s="1"/>
      <c r="B95" s="19" t="s">
        <v>172</v>
      </c>
      <c r="C95" s="56" t="n">
        <v>0.001</v>
      </c>
      <c r="D95" s="21" t="s">
        <v>39</v>
      </c>
      <c r="E95" s="53" t="s">
        <v>126</v>
      </c>
      <c r="F95" s="21" t="s">
        <v>173</v>
      </c>
      <c r="G95" s="21"/>
      <c r="H95" s="21"/>
      <c r="I95" s="21"/>
      <c r="J95" s="21"/>
      <c r="K95" s="21"/>
      <c r="L95" s="21"/>
    </row>
    <row r="96" customFormat="false" ht="30" hidden="false" customHeight="true" outlineLevel="0" collapsed="false">
      <c r="A96" s="1"/>
      <c r="B96" s="19" t="s">
        <v>174</v>
      </c>
      <c r="C96" s="55" t="n">
        <v>0.00799</v>
      </c>
      <c r="D96" s="21" t="s">
        <v>39</v>
      </c>
      <c r="E96" s="53" t="s">
        <v>126</v>
      </c>
      <c r="F96" s="21" t="s">
        <v>175</v>
      </c>
      <c r="G96" s="21"/>
      <c r="H96" s="21"/>
      <c r="I96" s="21"/>
      <c r="J96" s="21"/>
      <c r="K96" s="21"/>
      <c r="L96" s="21"/>
    </row>
    <row r="97" customFormat="false" ht="18" hidden="false" customHeight="true" outlineLevel="0" collapsed="false">
      <c r="A97" s="1"/>
      <c r="B97" s="19" t="s">
        <v>176</v>
      </c>
      <c r="C97" s="24" t="n">
        <v>0.2</v>
      </c>
      <c r="D97" s="21" t="s">
        <v>39</v>
      </c>
      <c r="E97" s="53" t="s">
        <v>126</v>
      </c>
      <c r="F97" s="21" t="s">
        <v>177</v>
      </c>
      <c r="G97" s="21"/>
      <c r="H97" s="21"/>
      <c r="I97" s="21"/>
      <c r="J97" s="21"/>
      <c r="K97" s="21"/>
      <c r="L97" s="21"/>
    </row>
    <row r="98" customFormat="false" ht="30" hidden="false" customHeight="true" outlineLevel="0" collapsed="false">
      <c r="A98" s="1"/>
      <c r="B98" s="19" t="s">
        <v>178</v>
      </c>
      <c r="C98" s="25" t="n">
        <v>339.58</v>
      </c>
      <c r="D98" s="21" t="s">
        <v>123</v>
      </c>
      <c r="E98" s="53" t="s">
        <v>126</v>
      </c>
      <c r="F98" s="21" t="s">
        <v>179</v>
      </c>
      <c r="G98" s="21"/>
      <c r="H98" s="21"/>
      <c r="I98" s="21"/>
      <c r="J98" s="21"/>
      <c r="K98" s="21"/>
      <c r="L98" s="21"/>
    </row>
    <row r="99" customFormat="false" ht="42" hidden="false" customHeight="true" outlineLevel="0" collapsed="false">
      <c r="A99" s="1"/>
      <c r="B99" s="19" t="s">
        <v>180</v>
      </c>
      <c r="C99" s="57" t="n">
        <f aca="false">IF($C$86=0,0,($C$86*($C$94+$C$95+$C$96*(1+$C$97))+$C$98*(1+$C$97))/$C$86)</f>
        <v>0.0745566461538462</v>
      </c>
      <c r="D99" s="21" t="s">
        <v>39</v>
      </c>
      <c r="E99" s="27" t="s">
        <v>46</v>
      </c>
      <c r="F99" s="21" t="s">
        <v>181</v>
      </c>
      <c r="G99" s="21"/>
      <c r="H99" s="21"/>
      <c r="I99" s="21"/>
      <c r="J99" s="21"/>
      <c r="K99" s="21"/>
      <c r="L99" s="21"/>
    </row>
    <row r="100" customFormat="false" ht="54.75" hidden="false" customHeight="true" outlineLevel="0" collapsed="false">
      <c r="A100" s="1"/>
      <c r="B100" s="19" t="s">
        <v>182</v>
      </c>
      <c r="C100" s="24" t="n">
        <v>0.04</v>
      </c>
      <c r="D100" s="21" t="s">
        <v>39</v>
      </c>
      <c r="E100" s="22" t="s">
        <v>33</v>
      </c>
      <c r="F100" s="21" t="s">
        <v>183</v>
      </c>
      <c r="G100" s="21"/>
      <c r="H100" s="21"/>
      <c r="I100" s="21"/>
      <c r="J100" s="21"/>
      <c r="K100" s="21"/>
      <c r="L100" s="21"/>
    </row>
    <row r="101" customFormat="false" ht="30" hidden="false" customHeight="true" outlineLevel="0" collapsed="false">
      <c r="A101" s="1"/>
      <c r="B101" s="19" t="s">
        <v>184</v>
      </c>
      <c r="C101" s="54" t="n">
        <v>2000</v>
      </c>
      <c r="D101" s="21" t="s">
        <v>123</v>
      </c>
      <c r="E101" s="22" t="s">
        <v>33</v>
      </c>
      <c r="F101" s="21" t="s">
        <v>185</v>
      </c>
      <c r="G101" s="21"/>
      <c r="H101" s="21"/>
      <c r="I101" s="21"/>
      <c r="J101" s="21"/>
      <c r="K101" s="21"/>
      <c r="L101" s="21"/>
    </row>
    <row r="102" customFormat="false" ht="30" hidden="false" customHeight="true" outlineLevel="0" collapsed="false">
      <c r="A102" s="1"/>
      <c r="B102" s="19" t="s">
        <v>186</v>
      </c>
      <c r="C102" s="24" t="n">
        <v>0.01</v>
      </c>
      <c r="D102" s="21" t="s">
        <v>39</v>
      </c>
      <c r="E102" s="22" t="s">
        <v>33</v>
      </c>
      <c r="F102" s="21" t="s">
        <v>187</v>
      </c>
      <c r="G102" s="21"/>
      <c r="H102" s="21"/>
      <c r="I102" s="21"/>
      <c r="J102" s="21"/>
      <c r="K102" s="21"/>
      <c r="L102" s="21"/>
    </row>
    <row r="103" customFormat="false" ht="42" hidden="false" customHeight="true" outlineLevel="0" collapsed="false">
      <c r="A103" s="1"/>
      <c r="B103" s="19" t="s">
        <v>188</v>
      </c>
      <c r="C103" s="54" t="n">
        <v>10000</v>
      </c>
      <c r="D103" s="21" t="s">
        <v>123</v>
      </c>
      <c r="E103" s="22" t="s">
        <v>33</v>
      </c>
      <c r="F103" s="21" t="s">
        <v>189</v>
      </c>
      <c r="G103" s="21"/>
      <c r="H103" s="21"/>
      <c r="I103" s="21"/>
      <c r="J103" s="21"/>
      <c r="K103" s="21"/>
      <c r="L103" s="21"/>
    </row>
    <row r="104" customFormat="false" ht="15" hidden="false" customHeight="false" outlineLevel="0" collapsed="false">
      <c r="A104" s="1"/>
      <c r="B104" s="1"/>
      <c r="C104" s="1"/>
      <c r="D104" s="1"/>
      <c r="E104" s="1"/>
      <c r="F104" s="1"/>
      <c r="G104" s="1"/>
      <c r="H104" s="1"/>
      <c r="I104" s="1"/>
      <c r="J104" s="1"/>
      <c r="K104" s="1"/>
      <c r="L104" s="1"/>
    </row>
    <row r="105" customFormat="false" ht="19.5" hidden="false" customHeight="true" outlineLevel="0" collapsed="false">
      <c r="A105" s="1"/>
      <c r="B105" s="14" t="s">
        <v>190</v>
      </c>
      <c r="C105" s="15"/>
      <c r="D105" s="15"/>
      <c r="E105" s="15"/>
      <c r="F105" s="15"/>
      <c r="G105" s="15"/>
      <c r="H105" s="15"/>
      <c r="I105" s="15"/>
      <c r="J105" s="15"/>
      <c r="K105" s="15"/>
      <c r="L105" s="15"/>
    </row>
    <row r="106" customFormat="false" ht="25.5" hidden="false" customHeight="true" outlineLevel="0" collapsed="false">
      <c r="A106" s="1"/>
      <c r="B106" s="16" t="s">
        <v>26</v>
      </c>
      <c r="C106" s="17" t="s">
        <v>27</v>
      </c>
      <c r="D106" s="17" t="s">
        <v>28</v>
      </c>
      <c r="E106" s="17" t="s">
        <v>29</v>
      </c>
      <c r="F106" s="18" t="s">
        <v>30</v>
      </c>
      <c r="G106" s="18"/>
      <c r="H106" s="18"/>
      <c r="I106" s="18"/>
      <c r="J106" s="18"/>
      <c r="K106" s="18"/>
      <c r="L106" s="18"/>
    </row>
    <row r="107" customFormat="false" ht="30" hidden="false" customHeight="true" outlineLevel="0" collapsed="false">
      <c r="A107" s="1"/>
      <c r="B107" s="19" t="s">
        <v>191</v>
      </c>
      <c r="C107" s="24" t="n">
        <v>0.2</v>
      </c>
      <c r="D107" s="21" t="s">
        <v>39</v>
      </c>
      <c r="E107" s="53" t="s">
        <v>126</v>
      </c>
      <c r="F107" s="21" t="s">
        <v>192</v>
      </c>
      <c r="G107" s="21"/>
      <c r="H107" s="21"/>
      <c r="I107" s="21"/>
      <c r="J107" s="21"/>
      <c r="K107" s="21"/>
      <c r="L107" s="21"/>
    </row>
    <row r="108" customFormat="false" ht="30" hidden="false" customHeight="true" outlineLevel="0" collapsed="false">
      <c r="A108" s="1"/>
      <c r="B108" s="19" t="s">
        <v>193</v>
      </c>
      <c r="C108" s="24" t="n">
        <v>0.3</v>
      </c>
      <c r="D108" s="21" t="s">
        <v>39</v>
      </c>
      <c r="E108" s="53" t="s">
        <v>126</v>
      </c>
      <c r="F108" s="21" t="s">
        <v>194</v>
      </c>
      <c r="G108" s="21"/>
      <c r="H108" s="21"/>
      <c r="I108" s="21"/>
      <c r="J108" s="21"/>
      <c r="K108" s="21"/>
      <c r="L108" s="21"/>
    </row>
    <row r="109" customFormat="false" ht="30" hidden="false" customHeight="true" outlineLevel="0" collapsed="false">
      <c r="A109" s="1"/>
      <c r="B109" s="19" t="s">
        <v>195</v>
      </c>
      <c r="C109" s="56" t="n">
        <v>0.0332</v>
      </c>
      <c r="D109" s="21" t="s">
        <v>39</v>
      </c>
      <c r="E109" s="53" t="s">
        <v>126</v>
      </c>
      <c r="F109" s="21" t="s">
        <v>196</v>
      </c>
      <c r="G109" s="21"/>
      <c r="H109" s="21"/>
      <c r="I109" s="21"/>
      <c r="J109" s="21"/>
      <c r="K109" s="21"/>
      <c r="L109" s="21"/>
    </row>
    <row r="110" customFormat="false" ht="30" hidden="false" customHeight="true" outlineLevel="0" collapsed="false">
      <c r="A110" s="1"/>
      <c r="B110" s="19" t="s">
        <v>197</v>
      </c>
      <c r="C110" s="56" t="n">
        <v>0.003</v>
      </c>
      <c r="D110" s="21" t="s">
        <v>198</v>
      </c>
      <c r="E110" s="22" t="s">
        <v>33</v>
      </c>
      <c r="F110" s="21" t="s">
        <v>199</v>
      </c>
      <c r="G110" s="21"/>
      <c r="H110" s="21"/>
      <c r="I110" s="21"/>
      <c r="J110" s="21"/>
      <c r="K110" s="21"/>
      <c r="L110" s="21"/>
    </row>
    <row r="111" customFormat="false" ht="30" hidden="false" customHeight="true" outlineLevel="0" collapsed="false">
      <c r="A111" s="1"/>
      <c r="B111" s="19" t="s">
        <v>200</v>
      </c>
      <c r="C111" s="56" t="n">
        <v>0.0371</v>
      </c>
      <c r="D111" s="21" t="s">
        <v>39</v>
      </c>
      <c r="E111" s="53" t="s">
        <v>126</v>
      </c>
      <c r="F111" s="21" t="s">
        <v>201</v>
      </c>
      <c r="G111" s="21"/>
      <c r="H111" s="21"/>
      <c r="I111" s="21"/>
      <c r="J111" s="21"/>
      <c r="K111" s="21"/>
      <c r="L111" s="21"/>
    </row>
    <row r="112" customFormat="false" ht="30" hidden="false" customHeight="true" outlineLevel="0" collapsed="false">
      <c r="A112" s="1"/>
      <c r="B112" s="19" t="s">
        <v>202</v>
      </c>
      <c r="C112" s="56" t="n">
        <v>0.005</v>
      </c>
      <c r="D112" s="21" t="s">
        <v>198</v>
      </c>
      <c r="E112" s="22" t="s">
        <v>33</v>
      </c>
      <c r="F112" s="21" t="s">
        <v>109</v>
      </c>
      <c r="G112" s="21"/>
      <c r="H112" s="21"/>
      <c r="I112" s="21"/>
      <c r="J112" s="21"/>
      <c r="K112" s="21"/>
      <c r="L112" s="21"/>
    </row>
    <row r="113" customFormat="false" ht="18" hidden="false" customHeight="true" outlineLevel="0" collapsed="false">
      <c r="A113" s="1"/>
      <c r="B113" s="19" t="s">
        <v>203</v>
      </c>
      <c r="C113" s="20" t="n">
        <v>20</v>
      </c>
      <c r="D113" s="21" t="s">
        <v>204</v>
      </c>
      <c r="E113" s="53" t="s">
        <v>126</v>
      </c>
      <c r="F113" s="21" t="s">
        <v>205</v>
      </c>
      <c r="G113" s="21"/>
      <c r="H113" s="21"/>
      <c r="I113" s="21"/>
      <c r="J113" s="21"/>
      <c r="K113" s="21"/>
      <c r="L113" s="21"/>
    </row>
    <row r="114" customFormat="false" ht="18" hidden="false" customHeight="true" outlineLevel="0" collapsed="false">
      <c r="A114" s="1"/>
      <c r="B114" s="19" t="s">
        <v>206</v>
      </c>
      <c r="C114" s="20" t="n">
        <v>7</v>
      </c>
      <c r="D114" s="21" t="s">
        <v>204</v>
      </c>
      <c r="E114" s="53" t="s">
        <v>126</v>
      </c>
      <c r="F114" s="21" t="s">
        <v>207</v>
      </c>
      <c r="G114" s="21"/>
      <c r="H114" s="21"/>
      <c r="I114" s="21"/>
      <c r="J114" s="21"/>
      <c r="K114" s="21"/>
      <c r="L114" s="21"/>
    </row>
    <row r="115" customFormat="false" ht="15" hidden="false" customHeight="false" outlineLevel="0" collapsed="false">
      <c r="A115" s="1"/>
      <c r="B115" s="1"/>
      <c r="C115" s="1"/>
      <c r="D115" s="1"/>
      <c r="E115" s="1"/>
      <c r="F115" s="1"/>
      <c r="G115" s="1"/>
      <c r="H115" s="1"/>
      <c r="I115" s="1"/>
      <c r="J115" s="1"/>
      <c r="K115" s="1"/>
      <c r="L115" s="1"/>
    </row>
    <row r="116" customFormat="false" ht="19.5" hidden="false" customHeight="true" outlineLevel="0" collapsed="false">
      <c r="A116" s="1"/>
      <c r="B116" s="14" t="s">
        <v>208</v>
      </c>
      <c r="C116" s="15"/>
      <c r="D116" s="15"/>
      <c r="E116" s="15"/>
      <c r="F116" s="15"/>
      <c r="G116" s="15"/>
      <c r="H116" s="15"/>
      <c r="I116" s="15"/>
      <c r="J116" s="15"/>
      <c r="K116" s="15"/>
      <c r="L116" s="15"/>
    </row>
    <row r="117" customFormat="false" ht="25.5" hidden="false" customHeight="true" outlineLevel="0" collapsed="false">
      <c r="A117" s="1"/>
      <c r="B117" s="16" t="s">
        <v>26</v>
      </c>
      <c r="C117" s="17" t="s">
        <v>27</v>
      </c>
      <c r="D117" s="17" t="s">
        <v>28</v>
      </c>
      <c r="E117" s="17" t="s">
        <v>29</v>
      </c>
      <c r="F117" s="18" t="s">
        <v>30</v>
      </c>
      <c r="G117" s="18"/>
      <c r="H117" s="18"/>
      <c r="I117" s="18"/>
      <c r="J117" s="18"/>
      <c r="K117" s="18"/>
      <c r="L117" s="18"/>
    </row>
    <row r="118" customFormat="false" ht="42" hidden="false" customHeight="true" outlineLevel="0" collapsed="false">
      <c r="A118" s="1"/>
      <c r="B118" s="19" t="s">
        <v>209</v>
      </c>
      <c r="C118" s="24" t="n">
        <v>0.128</v>
      </c>
      <c r="D118" s="21" t="s">
        <v>39</v>
      </c>
      <c r="E118" s="53" t="s">
        <v>126</v>
      </c>
      <c r="F118" s="21" t="s">
        <v>210</v>
      </c>
      <c r="G118" s="21"/>
      <c r="H118" s="21"/>
      <c r="I118" s="21"/>
      <c r="J118" s="21"/>
      <c r="K118" s="21"/>
      <c r="L118" s="21"/>
    </row>
    <row r="119" customFormat="false" ht="30" hidden="false" customHeight="true" outlineLevel="0" collapsed="false">
      <c r="A119" s="1"/>
      <c r="B119" s="19" t="s">
        <v>211</v>
      </c>
      <c r="C119" s="26" t="n">
        <v>1.2</v>
      </c>
      <c r="D119" s="21" t="s">
        <v>212</v>
      </c>
      <c r="E119" s="22" t="s">
        <v>33</v>
      </c>
      <c r="F119" s="21" t="s">
        <v>213</v>
      </c>
      <c r="G119" s="21"/>
      <c r="H119" s="21"/>
      <c r="I119" s="21"/>
      <c r="J119" s="21"/>
      <c r="K119" s="21"/>
      <c r="L119" s="21"/>
    </row>
  </sheetData>
  <mergeCells count="79">
    <mergeCell ref="D5:L5"/>
    <mergeCell ref="F8:L8"/>
    <mergeCell ref="F9:L9"/>
    <mergeCell ref="F10:L10"/>
    <mergeCell ref="F11:L11"/>
    <mergeCell ref="F12:L12"/>
    <mergeCell ref="F13:L13"/>
    <mergeCell ref="F14:L14"/>
    <mergeCell ref="B17:L17"/>
    <mergeCell ref="F36:L36"/>
    <mergeCell ref="F37:L37"/>
    <mergeCell ref="F38:L38"/>
    <mergeCell ref="F39:L39"/>
    <mergeCell ref="F40:L40"/>
    <mergeCell ref="F41:L41"/>
    <mergeCell ref="F42:L42"/>
    <mergeCell ref="F43:L43"/>
    <mergeCell ref="F44:L44"/>
    <mergeCell ref="F45:L45"/>
    <mergeCell ref="F46:L46"/>
    <mergeCell ref="F47:L47"/>
    <mergeCell ref="F48:L48"/>
    <mergeCell ref="F49:L49"/>
    <mergeCell ref="F52:L52"/>
    <mergeCell ref="F53:L53"/>
    <mergeCell ref="F54:L54"/>
    <mergeCell ref="F55:L55"/>
    <mergeCell ref="F56:L56"/>
    <mergeCell ref="F57:L57"/>
    <mergeCell ref="F58:L58"/>
    <mergeCell ref="F61:L61"/>
    <mergeCell ref="F62:L62"/>
    <mergeCell ref="F63:L63"/>
    <mergeCell ref="F64:L64"/>
    <mergeCell ref="F65:L65"/>
    <mergeCell ref="F66:L66"/>
    <mergeCell ref="F67:L67"/>
    <mergeCell ref="F68:L68"/>
    <mergeCell ref="F71:L71"/>
    <mergeCell ref="F72:L72"/>
    <mergeCell ref="F73:L73"/>
    <mergeCell ref="F74:L74"/>
    <mergeCell ref="F75:L75"/>
    <mergeCell ref="F76:L76"/>
    <mergeCell ref="F77:L77"/>
    <mergeCell ref="F78:L78"/>
    <mergeCell ref="F79:L79"/>
    <mergeCell ref="F80:L80"/>
    <mergeCell ref="F81:L81"/>
    <mergeCell ref="F82:L82"/>
    <mergeCell ref="F85:L85"/>
    <mergeCell ref="F86:L86"/>
    <mergeCell ref="F87:L87"/>
    <mergeCell ref="F88:L88"/>
    <mergeCell ref="F89:L89"/>
    <mergeCell ref="F92:L92"/>
    <mergeCell ref="F93:L93"/>
    <mergeCell ref="F94:L94"/>
    <mergeCell ref="F95:L95"/>
    <mergeCell ref="F96:L96"/>
    <mergeCell ref="F97:L97"/>
    <mergeCell ref="F98:L98"/>
    <mergeCell ref="F99:L99"/>
    <mergeCell ref="F100:L100"/>
    <mergeCell ref="F101:L101"/>
    <mergeCell ref="F102:L102"/>
    <mergeCell ref="F103:L103"/>
    <mergeCell ref="F106:L106"/>
    <mergeCell ref="F107:L107"/>
    <mergeCell ref="F108:L108"/>
    <mergeCell ref="F109:L109"/>
    <mergeCell ref="F110:L110"/>
    <mergeCell ref="F111:L111"/>
    <mergeCell ref="F112:L112"/>
    <mergeCell ref="F113:L113"/>
    <mergeCell ref="F114:L114"/>
    <mergeCell ref="F117:L117"/>
    <mergeCell ref="F118:L118"/>
    <mergeCell ref="F119:L119"/>
  </mergeCells>
  <dataValidations count="1">
    <dataValidation allowBlank="false" errorStyle="stop" operator="between" showDropDown="false" showErrorMessage="false" showInputMessage="false" sqref="D19:D30" type="list">
      <formula1>"0,1"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6"/>
    <col collapsed="false" customWidth="true" hidden="false" outlineLevel="0" max="13" min="4" style="0" width="12.5"/>
  </cols>
  <sheetData>
    <row r="1" customFormat="false" ht="24" hidden="false" customHeight="true" outlineLevel="0" collapsed="false">
      <c r="A1" s="1"/>
      <c r="B1" s="8" t="s">
        <v>214</v>
      </c>
      <c r="C1" s="1"/>
      <c r="D1" s="1"/>
      <c r="E1" s="1"/>
      <c r="F1" s="1"/>
      <c r="G1" s="1"/>
      <c r="H1" s="1"/>
      <c r="I1" s="1"/>
      <c r="J1" s="1"/>
      <c r="K1" s="1"/>
      <c r="L1" s="1"/>
      <c r="M1" s="1"/>
    </row>
    <row r="2" customFormat="false" ht="15" hidden="false" customHeight="false" outlineLevel="0" collapsed="false">
      <c r="A2" s="1"/>
      <c r="B2" s="9" t="s">
        <v>215</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25.5" hidden="false" customHeight="true" outlineLevel="0" collapsed="false">
      <c r="A5" s="1"/>
      <c r="B5" s="16" t="s">
        <v>216</v>
      </c>
      <c r="C5" s="17" t="s">
        <v>217</v>
      </c>
      <c r="D5" s="17" t="s">
        <v>218</v>
      </c>
      <c r="E5" s="17" t="s">
        <v>219</v>
      </c>
      <c r="F5" s="17" t="s">
        <v>220</v>
      </c>
      <c r="G5" s="17" t="s">
        <v>221</v>
      </c>
      <c r="H5" s="17" t="s">
        <v>222</v>
      </c>
      <c r="I5" s="17" t="s">
        <v>223</v>
      </c>
      <c r="J5" s="17" t="s">
        <v>224</v>
      </c>
      <c r="K5" s="17" t="s">
        <v>225</v>
      </c>
      <c r="L5" s="17" t="s">
        <v>226</v>
      </c>
      <c r="M5" s="17" t="s">
        <v>227</v>
      </c>
    </row>
    <row r="6" customFormat="false" ht="15" hidden="false" customHeight="false" outlineLevel="0" collapsed="false">
      <c r="A6" s="1"/>
      <c r="B6" s="58" t="s">
        <v>228</v>
      </c>
      <c r="C6" s="59"/>
      <c r="D6" s="60" t="n">
        <v>1</v>
      </c>
      <c r="E6" s="60" t="n">
        <v>2</v>
      </c>
      <c r="F6" s="60" t="n">
        <v>3</v>
      </c>
      <c r="G6" s="60" t="n">
        <v>4</v>
      </c>
      <c r="H6" s="60" t="n">
        <v>5</v>
      </c>
      <c r="I6" s="60" t="n">
        <v>6</v>
      </c>
      <c r="J6" s="60" t="n">
        <v>7</v>
      </c>
      <c r="K6" s="60" t="n">
        <v>8</v>
      </c>
      <c r="L6" s="60" t="n">
        <v>9</v>
      </c>
      <c r="M6" s="60" t="n">
        <v>10</v>
      </c>
    </row>
    <row r="7" customFormat="false" ht="15" hidden="false" customHeight="false" outlineLevel="0" collapsed="false">
      <c r="A7" s="1"/>
      <c r="B7" s="1"/>
      <c r="C7" s="1"/>
      <c r="D7" s="1"/>
      <c r="E7" s="1"/>
      <c r="F7" s="1"/>
      <c r="G7" s="1"/>
      <c r="H7" s="1"/>
      <c r="I7" s="1"/>
      <c r="J7" s="1"/>
      <c r="K7" s="1"/>
      <c r="L7" s="1"/>
      <c r="M7" s="1"/>
    </row>
    <row r="8" customFormat="false" ht="19.5" hidden="false" customHeight="true" outlineLevel="0" collapsed="false">
      <c r="A8" s="1"/>
      <c r="B8" s="14" t="s">
        <v>229</v>
      </c>
      <c r="C8" s="15"/>
      <c r="D8" s="15"/>
      <c r="E8" s="15"/>
      <c r="F8" s="15"/>
      <c r="G8" s="15"/>
      <c r="H8" s="15"/>
      <c r="I8" s="15"/>
      <c r="J8" s="15"/>
      <c r="K8" s="15"/>
      <c r="L8" s="15"/>
      <c r="M8" s="15"/>
    </row>
    <row r="9" customFormat="false" ht="15" hidden="false" customHeight="false" outlineLevel="0" collapsed="false">
      <c r="A9" s="1"/>
      <c r="B9" s="61" t="s">
        <v>230</v>
      </c>
      <c r="C9" s="59"/>
      <c r="D9" s="62" t="n">
        <f aca="false">Hypothèses!$C$53</f>
        <v>0.92</v>
      </c>
      <c r="E9" s="62" t="n">
        <f aca="false">Hypothèses!$C$54</f>
        <v>0.97</v>
      </c>
      <c r="F9" s="62" t="n">
        <f aca="false">Hypothèses!$C$55</f>
        <v>1</v>
      </c>
      <c r="G9" s="62" t="n">
        <f aca="false">Hypothèses!$C$55</f>
        <v>1</v>
      </c>
      <c r="H9" s="62" t="n">
        <f aca="false">Hypothèses!$C$55</f>
        <v>1</v>
      </c>
      <c r="I9" s="62" t="n">
        <f aca="false">Hypothèses!$C$55</f>
        <v>1</v>
      </c>
      <c r="J9" s="62" t="n">
        <f aca="false">Hypothèses!$C$55</f>
        <v>1</v>
      </c>
      <c r="K9" s="62" t="n">
        <f aca="false">Hypothèses!$C$55</f>
        <v>1</v>
      </c>
      <c r="L9" s="62" t="n">
        <f aca="false">Hypothèses!$C$55</f>
        <v>1</v>
      </c>
      <c r="M9" s="62" t="n">
        <f aca="false">Hypothèses!$C$55</f>
        <v>1</v>
      </c>
    </row>
    <row r="10" customFormat="false" ht="25.5" hidden="false" customHeight="true" outlineLevel="0" collapsed="false">
      <c r="A10" s="1"/>
      <c r="B10" s="61" t="s">
        <v>231</v>
      </c>
      <c r="C10" s="59" t="s">
        <v>232</v>
      </c>
      <c r="D10" s="63" t="n">
        <v>1</v>
      </c>
      <c r="E10" s="63" t="n">
        <f aca="false">D10*(1+Hypothèses!$C$56)</f>
        <v>1.02</v>
      </c>
      <c r="F10" s="63" t="n">
        <f aca="false">E10*(1+Hypothèses!$C$56)</f>
        <v>1.0404</v>
      </c>
      <c r="G10" s="63" t="n">
        <f aca="false">F10*(1+Hypothèses!$C$56)</f>
        <v>1.061208</v>
      </c>
      <c r="H10" s="63" t="n">
        <f aca="false">G10*(1+Hypothèses!$C$56)</f>
        <v>1.08243216</v>
      </c>
      <c r="I10" s="63" t="n">
        <f aca="false">H10*(1+Hypothèses!$C$56)</f>
        <v>1.1040808032</v>
      </c>
      <c r="J10" s="63" t="n">
        <f aca="false">I10*(1+Hypothèses!$C$56)</f>
        <v>1.126162419264</v>
      </c>
      <c r="K10" s="63" t="n">
        <f aca="false">J10*(1+Hypothèses!$C$56)</f>
        <v>1.14868566764928</v>
      </c>
      <c r="L10" s="63" t="n">
        <f aca="false">K10*(1+Hypothèses!$C$56)</f>
        <v>1.17165938100227</v>
      </c>
      <c r="M10" s="63" t="n">
        <f aca="false">L10*(1+Hypothèses!$C$56)</f>
        <v>1.19509256862231</v>
      </c>
    </row>
    <row r="11" customFormat="false" ht="15" hidden="false" customHeight="false" outlineLevel="0" collapsed="false">
      <c r="A11" s="1"/>
      <c r="B11" s="61" t="s">
        <v>233</v>
      </c>
      <c r="C11" s="59"/>
      <c r="D11" s="63" t="n">
        <v>1</v>
      </c>
      <c r="E11" s="63" t="n">
        <f aca="false">D11*(1+Hypothèses!$C$57)</f>
        <v>1.02</v>
      </c>
      <c r="F11" s="63" t="n">
        <f aca="false">E11*(1+Hypothèses!$C$57)</f>
        <v>1.0404</v>
      </c>
      <c r="G11" s="63" t="n">
        <f aca="false">F11*(1+Hypothèses!$C$57)</f>
        <v>1.061208</v>
      </c>
      <c r="H11" s="63" t="n">
        <f aca="false">G11*(1+Hypothèses!$C$57)</f>
        <v>1.08243216</v>
      </c>
      <c r="I11" s="63" t="n">
        <f aca="false">H11*(1+Hypothèses!$C$57)</f>
        <v>1.1040808032</v>
      </c>
      <c r="J11" s="63" t="n">
        <f aca="false">I11*(1+Hypothèses!$C$57)</f>
        <v>1.126162419264</v>
      </c>
      <c r="K11" s="63" t="n">
        <f aca="false">J11*(1+Hypothèses!$C$57)</f>
        <v>1.14868566764928</v>
      </c>
      <c r="L11" s="63" t="n">
        <f aca="false">K11*(1+Hypothèses!$C$57)</f>
        <v>1.17165938100227</v>
      </c>
      <c r="M11" s="63" t="n">
        <f aca="false">L11*(1+Hypothèses!$C$57)</f>
        <v>1.19509256862231</v>
      </c>
    </row>
    <row r="12" customFormat="false" ht="15" hidden="false" customHeight="false" outlineLevel="0" collapsed="false">
      <c r="A12" s="1"/>
      <c r="B12" s="61" t="s">
        <v>234</v>
      </c>
      <c r="C12" s="59"/>
      <c r="D12" s="63" t="n">
        <v>1</v>
      </c>
      <c r="E12" s="63" t="n">
        <f aca="false">D12*(1+Hypothèses!$C$58)</f>
        <v>1.025</v>
      </c>
      <c r="F12" s="63" t="n">
        <f aca="false">E12*(1+Hypothèses!$C$58)</f>
        <v>1.050625</v>
      </c>
      <c r="G12" s="63" t="n">
        <f aca="false">F12*(1+Hypothèses!$C$58)</f>
        <v>1.076890625</v>
      </c>
      <c r="H12" s="63" t="n">
        <f aca="false">G12*(1+Hypothèses!$C$58)</f>
        <v>1.103812890625</v>
      </c>
      <c r="I12" s="63" t="n">
        <f aca="false">H12*(1+Hypothèses!$C$58)</f>
        <v>1.13140821289062</v>
      </c>
      <c r="J12" s="63" t="n">
        <f aca="false">I12*(1+Hypothèses!$C$58)</f>
        <v>1.15969341821289</v>
      </c>
      <c r="K12" s="63" t="n">
        <f aca="false">J12*(1+Hypothèses!$C$58)</f>
        <v>1.18868575366821</v>
      </c>
      <c r="L12" s="63" t="n">
        <f aca="false">K12*(1+Hypothèses!$C$58)</f>
        <v>1.21840289750992</v>
      </c>
      <c r="M12" s="63" t="n">
        <f aca="false">L12*(1+Hypothèses!$C$58)</f>
        <v>1.24886296994767</v>
      </c>
    </row>
    <row r="13" customFormat="false" ht="15" hidden="false" customHeight="false" outlineLevel="0" collapsed="false">
      <c r="A13" s="1"/>
      <c r="B13" s="61" t="s">
        <v>82</v>
      </c>
      <c r="C13" s="59"/>
      <c r="D13" s="64" t="n">
        <f aca="false">Hypothèses!$C$38*D9</f>
        <v>703.925859564165</v>
      </c>
      <c r="E13" s="64" t="n">
        <f aca="false">Hypothèses!$C$38*E9</f>
        <v>742.182699757869</v>
      </c>
      <c r="F13" s="64" t="n">
        <f aca="false">Hypothèses!$C$38*F9</f>
        <v>765.136803874092</v>
      </c>
      <c r="G13" s="64" t="n">
        <f aca="false">Hypothèses!$C$38*G9</f>
        <v>765.136803874092</v>
      </c>
      <c r="H13" s="64" t="n">
        <f aca="false">Hypothèses!$C$38*H9</f>
        <v>765.136803874092</v>
      </c>
      <c r="I13" s="64" t="n">
        <f aca="false">Hypothèses!$C$38*I9</f>
        <v>765.136803874092</v>
      </c>
      <c r="J13" s="64" t="n">
        <f aca="false">Hypothèses!$C$38*J9</f>
        <v>765.136803874092</v>
      </c>
      <c r="K13" s="64" t="n">
        <f aca="false">Hypothèses!$C$38*K9</f>
        <v>765.136803874092</v>
      </c>
      <c r="L13" s="64" t="n">
        <f aca="false">Hypothèses!$C$38*L9</f>
        <v>765.136803874092</v>
      </c>
      <c r="M13" s="64" t="n">
        <f aca="false">Hypothèses!$C$38*M9</f>
        <v>765.136803874092</v>
      </c>
    </row>
    <row r="14" customFormat="false" ht="15" hidden="false" customHeight="false" outlineLevel="0" collapsed="false">
      <c r="A14" s="1"/>
      <c r="B14" s="61" t="s">
        <v>235</v>
      </c>
      <c r="C14" s="59"/>
      <c r="D14" s="62" t="n">
        <f aca="false">D13/(Hypothèses!$C$9*365)</f>
        <v>0.385712799761186</v>
      </c>
      <c r="E14" s="62" t="n">
        <f aca="false">E13/(Hypothèses!$C$9*365)</f>
        <v>0.40667545192212</v>
      </c>
      <c r="F14" s="62" t="n">
        <f aca="false">F13/(Hypothèses!$C$9*365)</f>
        <v>0.419253043218681</v>
      </c>
      <c r="G14" s="62" t="n">
        <f aca="false">G13/(Hypothèses!$C$9*365)</f>
        <v>0.419253043218681</v>
      </c>
      <c r="H14" s="62" t="n">
        <f aca="false">H13/(Hypothèses!$C$9*365)</f>
        <v>0.419253043218681</v>
      </c>
      <c r="I14" s="62" t="n">
        <f aca="false">I13/(Hypothèses!$C$9*365)</f>
        <v>0.419253043218681</v>
      </c>
      <c r="J14" s="62" t="n">
        <f aca="false">J13/(Hypothèses!$C$9*365)</f>
        <v>0.419253043218681</v>
      </c>
      <c r="K14" s="62" t="n">
        <f aca="false">K13/(Hypothèses!$C$9*365)</f>
        <v>0.419253043218681</v>
      </c>
      <c r="L14" s="62" t="n">
        <f aca="false">L13/(Hypothèses!$C$9*365)</f>
        <v>0.419253043218681</v>
      </c>
      <c r="M14" s="62" t="n">
        <f aca="false">M13/(Hypothèses!$C$9*365)</f>
        <v>0.419253043218681</v>
      </c>
    </row>
    <row r="15" customFormat="false" ht="15" hidden="false" customHeight="false" outlineLevel="0" collapsed="false">
      <c r="A15" s="1"/>
      <c r="B15" s="61" t="s">
        <v>61</v>
      </c>
      <c r="C15" s="59"/>
      <c r="D15" s="65" t="n">
        <f aca="false">Hypothèses!$C$41*D10</f>
        <v>140</v>
      </c>
      <c r="E15" s="65" t="n">
        <f aca="false">Hypothèses!$C$41*E10</f>
        <v>142.8</v>
      </c>
      <c r="F15" s="65" t="n">
        <f aca="false">Hypothèses!$C$41*F10</f>
        <v>145.656</v>
      </c>
      <c r="G15" s="65" t="n">
        <f aca="false">Hypothèses!$C$41*G10</f>
        <v>148.56912</v>
      </c>
      <c r="H15" s="65" t="n">
        <f aca="false">Hypothèses!$C$41*H10</f>
        <v>151.5405024</v>
      </c>
      <c r="I15" s="65" t="n">
        <f aca="false">Hypothèses!$C$41*I10</f>
        <v>154.571312448</v>
      </c>
      <c r="J15" s="65" t="n">
        <f aca="false">Hypothèses!$C$41*J10</f>
        <v>157.66273869696</v>
      </c>
      <c r="K15" s="65" t="n">
        <f aca="false">Hypothèses!$C$41*K10</f>
        <v>160.815993470899</v>
      </c>
      <c r="L15" s="65" t="n">
        <f aca="false">Hypothèses!$C$41*L10</f>
        <v>164.032313340317</v>
      </c>
      <c r="M15" s="65" t="n">
        <f aca="false">Hypothèses!$C$41*M10</f>
        <v>167.312959607124</v>
      </c>
    </row>
    <row r="16" customFormat="false" ht="15" hidden="false" customHeight="false" outlineLevel="0" collapsed="false">
      <c r="A16" s="1"/>
      <c r="B16" s="61" t="s">
        <v>236</v>
      </c>
      <c r="C16" s="59"/>
      <c r="D16" s="65" t="n">
        <f aca="false">D13*D15/(Hypothèses!$C$9*365)</f>
        <v>53.9997919665661</v>
      </c>
      <c r="E16" s="65" t="n">
        <f aca="false">E13*E15/(Hypothèses!$C$9*365)</f>
        <v>58.0732545344788</v>
      </c>
      <c r="F16" s="65" t="n">
        <f aca="false">F13*F15/(Hypothèses!$C$9*365)</f>
        <v>61.0667212630601</v>
      </c>
      <c r="G16" s="65" t="n">
        <f aca="false">G13*G15/(Hypothèses!$C$9*365)</f>
        <v>62.2880556883213</v>
      </c>
      <c r="H16" s="65" t="n">
        <f aca="false">H13*H15/(Hypothèses!$C$9*365)</f>
        <v>63.5338168020878</v>
      </c>
      <c r="I16" s="65" t="n">
        <f aca="false">I13*I15/(Hypothèses!$C$9*365)</f>
        <v>64.8044931381295</v>
      </c>
      <c r="J16" s="65" t="n">
        <f aca="false">J13*J15/(Hypothèses!$C$9*365)</f>
        <v>66.1005830008921</v>
      </c>
      <c r="K16" s="65" t="n">
        <f aca="false">K13*K15/(Hypothèses!$C$9*365)</f>
        <v>67.42259466091</v>
      </c>
      <c r="L16" s="65" t="n">
        <f aca="false">L13*L15/(Hypothèses!$C$9*365)</f>
        <v>68.7710465541282</v>
      </c>
      <c r="M16" s="65" t="n">
        <f aca="false">M13*M15/(Hypothèses!$C$9*365)</f>
        <v>70.1464674852107</v>
      </c>
    </row>
    <row r="17" customFormat="false" ht="15" hidden="false" customHeight="false" outlineLevel="0" collapsed="false">
      <c r="A17" s="1"/>
      <c r="B17" s="1"/>
      <c r="C17" s="1"/>
      <c r="D17" s="1"/>
      <c r="E17" s="1"/>
      <c r="F17" s="1"/>
      <c r="G17" s="1"/>
      <c r="H17" s="1"/>
      <c r="I17" s="1"/>
      <c r="J17" s="1"/>
      <c r="K17" s="1"/>
      <c r="L17" s="1"/>
      <c r="M17" s="1"/>
    </row>
    <row r="18" customFormat="false" ht="19.5" hidden="false" customHeight="true" outlineLevel="0" collapsed="false">
      <c r="A18" s="1"/>
      <c r="B18" s="14" t="s">
        <v>237</v>
      </c>
      <c r="C18" s="15"/>
      <c r="D18" s="15"/>
      <c r="E18" s="15"/>
      <c r="F18" s="15"/>
      <c r="G18" s="15"/>
      <c r="H18" s="15"/>
      <c r="I18" s="15"/>
      <c r="J18" s="15"/>
      <c r="K18" s="15"/>
      <c r="L18" s="15"/>
      <c r="M18" s="15"/>
    </row>
    <row r="19" customFormat="false" ht="15" hidden="false" customHeight="false" outlineLevel="0" collapsed="false">
      <c r="A19" s="1"/>
      <c r="B19" s="61" t="s">
        <v>238</v>
      </c>
      <c r="C19" s="59"/>
      <c r="D19" s="66" t="n">
        <f aca="false">D13*D15</f>
        <v>98549.6203389831</v>
      </c>
      <c r="E19" s="66" t="n">
        <f aca="false">E13*E15</f>
        <v>105983.689525424</v>
      </c>
      <c r="F19" s="66" t="n">
        <f aca="false">F13*F15</f>
        <v>111446.766305085</v>
      </c>
      <c r="G19" s="66" t="n">
        <f aca="false">G13*G15</f>
        <v>113675.701631186</v>
      </c>
      <c r="H19" s="66" t="n">
        <f aca="false">H13*H15</f>
        <v>115949.21566381</v>
      </c>
      <c r="I19" s="66" t="n">
        <f aca="false">I13*I15</f>
        <v>118268.199977086</v>
      </c>
      <c r="J19" s="66" t="n">
        <f aca="false">J13*J15</f>
        <v>120633.563976628</v>
      </c>
      <c r="K19" s="66" t="n">
        <f aca="false">K13*K15</f>
        <v>123046.235256161</v>
      </c>
      <c r="L19" s="66" t="n">
        <f aca="false">L13*L15</f>
        <v>125507.159961284</v>
      </c>
      <c r="M19" s="66" t="n">
        <f aca="false">M13*M15</f>
        <v>128017.30316051</v>
      </c>
    </row>
    <row r="20" customFormat="false" ht="15" hidden="false" customHeight="false" outlineLevel="0" collapsed="false">
      <c r="A20" s="1"/>
      <c r="B20" s="61" t="s">
        <v>239</v>
      </c>
      <c r="C20" s="59"/>
      <c r="D20" s="66" t="n">
        <f aca="false">D13*Hypothèses!$C$44*Hypothèses!$C$10*Hypothèses!$C$45*D10</f>
        <v>11262.8137530266</v>
      </c>
      <c r="E20" s="66" t="n">
        <f aca="false">E13*Hypothèses!$C$44*Hypothèses!$C$10*Hypothèses!$C$45*E10</f>
        <v>12112.4216600484</v>
      </c>
      <c r="F20" s="66" t="n">
        <f aca="false">F13*Hypothèses!$C$44*Hypothèses!$C$10*Hypothèses!$C$45*F10</f>
        <v>12736.7732920097</v>
      </c>
      <c r="G20" s="66" t="n">
        <f aca="false">G13*Hypothèses!$C$44*Hypothèses!$C$10*Hypothèses!$C$45*G10</f>
        <v>12991.5087578499</v>
      </c>
      <c r="H20" s="66" t="n">
        <f aca="false">H13*Hypothèses!$C$44*Hypothèses!$C$10*Hypothèses!$C$45*H10</f>
        <v>13251.3389330069</v>
      </c>
      <c r="I20" s="66" t="n">
        <f aca="false">I13*Hypothèses!$C$44*Hypothèses!$C$10*Hypothèses!$C$45*I10</f>
        <v>13516.365711667</v>
      </c>
      <c r="J20" s="66" t="n">
        <f aca="false">J13*Hypothèses!$C$44*Hypothèses!$C$10*Hypothèses!$C$45*J10</f>
        <v>13786.6930259004</v>
      </c>
      <c r="K20" s="66" t="n">
        <f aca="false">K13*Hypothèses!$C$44*Hypothèses!$C$10*Hypothèses!$C$45*K10</f>
        <v>14062.4268864184</v>
      </c>
      <c r="L20" s="66" t="n">
        <f aca="false">L13*Hypothèses!$C$44*Hypothèses!$C$10*Hypothèses!$C$45*L10</f>
        <v>14343.6754241467</v>
      </c>
      <c r="M20" s="66" t="n">
        <f aca="false">M13*Hypothèses!$C$44*Hypothèses!$C$10*Hypothèses!$C$45*M10</f>
        <v>14630.5489326297</v>
      </c>
    </row>
    <row r="21" customFormat="false" ht="15" hidden="false" customHeight="false" outlineLevel="0" collapsed="false">
      <c r="A21" s="1"/>
      <c r="B21" s="61" t="s">
        <v>240</v>
      </c>
      <c r="C21" s="59"/>
      <c r="D21" s="66" t="n">
        <f aca="false">D19*Hypothèses!$C$47</f>
        <v>0</v>
      </c>
      <c r="E21" s="66" t="n">
        <f aca="false">E19*Hypothèses!$C$47</f>
        <v>0</v>
      </c>
      <c r="F21" s="66" t="n">
        <f aca="false">F19*Hypothèses!$C$47</f>
        <v>0</v>
      </c>
      <c r="G21" s="66" t="n">
        <f aca="false">G19*Hypothèses!$C$47</f>
        <v>0</v>
      </c>
      <c r="H21" s="66" t="n">
        <f aca="false">H19*Hypothèses!$C$47</f>
        <v>0</v>
      </c>
      <c r="I21" s="66" t="n">
        <f aca="false">I19*Hypothèses!$C$47</f>
        <v>0</v>
      </c>
      <c r="J21" s="66" t="n">
        <f aca="false">J19*Hypothèses!$C$47</f>
        <v>0</v>
      </c>
      <c r="K21" s="66" t="n">
        <f aca="false">K19*Hypothèses!$C$47</f>
        <v>0</v>
      </c>
      <c r="L21" s="66" t="n">
        <f aca="false">L19*Hypothèses!$C$47</f>
        <v>0</v>
      </c>
      <c r="M21" s="66" t="n">
        <f aca="false">M19*Hypothèses!$C$47</f>
        <v>0</v>
      </c>
    </row>
    <row r="22" customFormat="false" ht="15" hidden="false" customHeight="false" outlineLevel="0" collapsed="false">
      <c r="A22" s="1"/>
      <c r="B22" s="67" t="s">
        <v>241</v>
      </c>
      <c r="C22" s="68"/>
      <c r="D22" s="69" t="n">
        <f aca="false">D19+D20+D21</f>
        <v>109812.43409201</v>
      </c>
      <c r="E22" s="69" t="n">
        <f aca="false">E19+E20+E21</f>
        <v>118096.111185472</v>
      </c>
      <c r="F22" s="69" t="n">
        <f aca="false">F19+F20+F21</f>
        <v>124183.539597094</v>
      </c>
      <c r="G22" s="69" t="n">
        <f aca="false">G19+G20+G21</f>
        <v>126667.210389036</v>
      </c>
      <c r="H22" s="69" t="n">
        <f aca="false">H19+H20+H21</f>
        <v>129200.554596817</v>
      </c>
      <c r="I22" s="69" t="n">
        <f aca="false">I19+I20+I21</f>
        <v>131784.565688753</v>
      </c>
      <c r="J22" s="69" t="n">
        <f aca="false">J19+J20+J21</f>
        <v>134420.257002528</v>
      </c>
      <c r="K22" s="69" t="n">
        <f aca="false">K19+K20+K21</f>
        <v>137108.662142579</v>
      </c>
      <c r="L22" s="69" t="n">
        <f aca="false">L19+L20+L21</f>
        <v>139850.835385431</v>
      </c>
      <c r="M22" s="69" t="n">
        <f aca="false">M19+M20+M21</f>
        <v>142647.852093139</v>
      </c>
    </row>
    <row r="23" customFormat="false" ht="15" hidden="false" customHeight="false" outlineLevel="0" collapsed="false">
      <c r="A23" s="1"/>
      <c r="B23" s="1"/>
      <c r="C23" s="1"/>
      <c r="D23" s="1"/>
      <c r="E23" s="1"/>
      <c r="F23" s="1"/>
      <c r="G23" s="1"/>
      <c r="H23" s="1"/>
      <c r="I23" s="1"/>
      <c r="J23" s="1"/>
      <c r="K23" s="1"/>
      <c r="L23" s="1"/>
      <c r="M23" s="1"/>
    </row>
    <row r="24" customFormat="false" ht="19.5" hidden="false" customHeight="true" outlineLevel="0" collapsed="false">
      <c r="A24" s="1"/>
      <c r="B24" s="14" t="s">
        <v>242</v>
      </c>
      <c r="C24" s="15"/>
      <c r="D24" s="15"/>
      <c r="E24" s="15"/>
      <c r="F24" s="15"/>
      <c r="G24" s="15"/>
      <c r="H24" s="15"/>
      <c r="I24" s="15"/>
      <c r="J24" s="15"/>
      <c r="K24" s="15"/>
      <c r="L24" s="15"/>
      <c r="M24" s="15"/>
    </row>
    <row r="25" customFormat="false" ht="15" hidden="false" customHeight="false" outlineLevel="0" collapsed="false">
      <c r="A25" s="1"/>
      <c r="B25" s="61" t="s">
        <v>243</v>
      </c>
      <c r="C25" s="59"/>
      <c r="D25" s="66" t="n">
        <f aca="false">D13*Hypothèses!$C$10*Hypothèses!$C$63*D11+D20*Hypothèses!$C$62</f>
        <v>9122.87913995157</v>
      </c>
      <c r="E25" s="66" t="n">
        <f aca="false">E13*Hypothèses!$C$10*Hypothèses!$C$63*E11+E20*Hypothèses!$C$62</f>
        <v>9811.06154463922</v>
      </c>
      <c r="F25" s="66" t="n">
        <f aca="false">F13*Hypothèses!$C$10*Hypothèses!$C$63*F11+F20*Hypothèses!$C$62</f>
        <v>10316.7863665278</v>
      </c>
      <c r="G25" s="66" t="n">
        <f aca="false">G13*Hypothèses!$C$10*Hypothèses!$C$63*G11+G20*Hypothèses!$C$62</f>
        <v>10523.1220938584</v>
      </c>
      <c r="H25" s="66" t="n">
        <f aca="false">H13*Hypothèses!$C$10*Hypothèses!$C$63*H11+H20*Hypothèses!$C$62</f>
        <v>10733.5845357356</v>
      </c>
      <c r="I25" s="66" t="n">
        <f aca="false">I13*Hypothèses!$C$10*Hypothèses!$C$63*I11+I20*Hypothèses!$C$62</f>
        <v>10948.2562264503</v>
      </c>
      <c r="J25" s="66" t="n">
        <f aca="false">J13*Hypothèses!$C$10*Hypothèses!$C$63*J11+J20*Hypothèses!$C$62</f>
        <v>11167.2213509793</v>
      </c>
      <c r="K25" s="66" t="n">
        <f aca="false">K13*Hypothèses!$C$10*Hypothèses!$C$63*K11+K20*Hypothèses!$C$62</f>
        <v>11390.5657779989</v>
      </c>
      <c r="L25" s="66" t="n">
        <f aca="false">L13*Hypothèses!$C$10*Hypothèses!$C$63*L11+L20*Hypothèses!$C$62</f>
        <v>11618.3770935589</v>
      </c>
      <c r="M25" s="66" t="n">
        <f aca="false">M13*Hypothèses!$C$10*Hypothèses!$C$63*M11+M20*Hypothèses!$C$62</f>
        <v>11850.74463543</v>
      </c>
    </row>
    <row r="26" customFormat="false" ht="15" hidden="false" customHeight="false" outlineLevel="0" collapsed="false">
      <c r="A26" s="1"/>
      <c r="B26" s="61" t="s">
        <v>244</v>
      </c>
      <c r="C26" s="59"/>
      <c r="D26" s="66" t="n">
        <f aca="false">D19*Hypothèses!$C$64*Hypothèses!$C$65</f>
        <v>5026.03063728814</v>
      </c>
      <c r="E26" s="66" t="n">
        <f aca="false">E19*Hypothèses!$C$64*Hypothèses!$C$65</f>
        <v>5405.16816579661</v>
      </c>
      <c r="F26" s="66" t="n">
        <f aca="false">F19*Hypothèses!$C$64*Hypothèses!$C$65</f>
        <v>5683.78508155932</v>
      </c>
      <c r="G26" s="66" t="n">
        <f aca="false">G19*Hypothèses!$C$64*Hypothèses!$C$65</f>
        <v>5797.46078319051</v>
      </c>
      <c r="H26" s="66" t="n">
        <f aca="false">H19*Hypothèses!$C$64*Hypothèses!$C$65</f>
        <v>5913.40999885432</v>
      </c>
      <c r="I26" s="66" t="n">
        <f aca="false">I19*Hypothèses!$C$64*Hypothèses!$C$65</f>
        <v>6031.67819883141</v>
      </c>
      <c r="J26" s="66" t="n">
        <f aca="false">J19*Hypothèses!$C$64*Hypothèses!$C$65</f>
        <v>6152.31176280803</v>
      </c>
      <c r="K26" s="66" t="n">
        <f aca="false">K19*Hypothèses!$C$64*Hypothèses!$C$65</f>
        <v>6275.35799806419</v>
      </c>
      <c r="L26" s="66" t="n">
        <f aca="false">L19*Hypothèses!$C$64*Hypothèses!$C$65</f>
        <v>6400.86515802548</v>
      </c>
      <c r="M26" s="66" t="n">
        <f aca="false">M19*Hypothèses!$C$64*Hypothèses!$C$65</f>
        <v>6528.88246118599</v>
      </c>
    </row>
    <row r="27" customFormat="false" ht="15" hidden="false" customHeight="false" outlineLevel="0" collapsed="false">
      <c r="A27" s="1"/>
      <c r="B27" s="61" t="s">
        <v>245</v>
      </c>
      <c r="C27" s="59"/>
      <c r="D27" s="66" t="n">
        <f aca="false">D22*Hypothèses!$C$66</f>
        <v>1647.18651138015</v>
      </c>
      <c r="E27" s="66" t="n">
        <f aca="false">E22*Hypothèses!$C$66</f>
        <v>1771.44166778208</v>
      </c>
      <c r="F27" s="66" t="n">
        <f aca="false">F22*Hypothèses!$C$66</f>
        <v>1862.75309395642</v>
      </c>
      <c r="G27" s="66" t="n">
        <f aca="false">G22*Hypothèses!$C$66</f>
        <v>1900.00815583554</v>
      </c>
      <c r="H27" s="66" t="n">
        <f aca="false">H22*Hypothèses!$C$66</f>
        <v>1938.00831895226</v>
      </c>
      <c r="I27" s="66" t="n">
        <f aca="false">I22*Hypothèses!$C$66</f>
        <v>1976.7684853313</v>
      </c>
      <c r="J27" s="66" t="n">
        <f aca="false">J22*Hypothèses!$C$66</f>
        <v>2016.30385503793</v>
      </c>
      <c r="K27" s="66" t="n">
        <f aca="false">K22*Hypothèses!$C$66</f>
        <v>2056.62993213869</v>
      </c>
      <c r="L27" s="66" t="n">
        <f aca="false">L22*Hypothèses!$C$66</f>
        <v>2097.76253078146</v>
      </c>
      <c r="M27" s="66" t="n">
        <f aca="false">M22*Hypothèses!$C$66</f>
        <v>2139.71778139709</v>
      </c>
    </row>
    <row r="28" customFormat="false" ht="15" hidden="false" customHeight="false" outlineLevel="0" collapsed="false">
      <c r="A28" s="1"/>
      <c r="B28" s="61" t="s">
        <v>246</v>
      </c>
      <c r="C28" s="59"/>
      <c r="D28" s="66" t="n">
        <f aca="false">D19*Hypothèses!$C$67</f>
        <v>3941.98481355932</v>
      </c>
      <c r="E28" s="66" t="n">
        <f aca="false">E19*Hypothèses!$C$67</f>
        <v>4239.34758101695</v>
      </c>
      <c r="F28" s="66" t="n">
        <f aca="false">F19*Hypothèses!$C$67</f>
        <v>4457.87065220339</v>
      </c>
      <c r="G28" s="66" t="n">
        <f aca="false">G19*Hypothèses!$C$67</f>
        <v>4547.02806524746</v>
      </c>
      <c r="H28" s="66" t="n">
        <f aca="false">H19*Hypothèses!$C$67</f>
        <v>4637.96862655241</v>
      </c>
      <c r="I28" s="66" t="n">
        <f aca="false">I19*Hypothèses!$C$67</f>
        <v>4730.72799908346</v>
      </c>
      <c r="J28" s="66" t="n">
        <f aca="false">J19*Hypothèses!$C$67</f>
        <v>4825.34255906512</v>
      </c>
      <c r="K28" s="66" t="n">
        <f aca="false">K19*Hypothèses!$C$67</f>
        <v>4921.84941024643</v>
      </c>
      <c r="L28" s="66" t="n">
        <f aca="false">L19*Hypothèses!$C$67</f>
        <v>5020.28639845136</v>
      </c>
      <c r="M28" s="66" t="n">
        <f aca="false">M19*Hypothèses!$C$67</f>
        <v>5120.69212642038</v>
      </c>
    </row>
    <row r="29" customFormat="false" ht="15" hidden="false" customHeight="false" outlineLevel="0" collapsed="false">
      <c r="A29" s="1"/>
      <c r="B29" s="61" t="s">
        <v>247</v>
      </c>
      <c r="C29" s="59"/>
      <c r="D29" s="66" t="n">
        <f aca="false">D19*Hypothèses!$C$68</f>
        <v>1970.99240677966</v>
      </c>
      <c r="E29" s="66" t="n">
        <f aca="false">E19*Hypothèses!$C$68</f>
        <v>2119.67379050847</v>
      </c>
      <c r="F29" s="66" t="n">
        <f aca="false">F19*Hypothèses!$C$68</f>
        <v>2228.93532610169</v>
      </c>
      <c r="G29" s="66" t="n">
        <f aca="false">G19*Hypothèses!$C$68</f>
        <v>2273.51403262373</v>
      </c>
      <c r="H29" s="66" t="n">
        <f aca="false">H19*Hypothèses!$C$68</f>
        <v>2318.9843132762</v>
      </c>
      <c r="I29" s="66" t="n">
        <f aca="false">I19*Hypothèses!$C$68</f>
        <v>2365.36399954173</v>
      </c>
      <c r="J29" s="66" t="n">
        <f aca="false">J19*Hypothèses!$C$68</f>
        <v>2412.67127953256</v>
      </c>
      <c r="K29" s="66" t="n">
        <f aca="false">K19*Hypothèses!$C$68</f>
        <v>2460.92470512321</v>
      </c>
      <c r="L29" s="66" t="n">
        <f aca="false">L19*Hypothèses!$C$68</f>
        <v>2510.14319922568</v>
      </c>
      <c r="M29" s="66" t="n">
        <f aca="false">M19*Hypothèses!$C$68</f>
        <v>2560.34606321019</v>
      </c>
    </row>
    <row r="30" customFormat="false" ht="15" hidden="false" customHeight="false" outlineLevel="0" collapsed="false">
      <c r="A30" s="1"/>
      <c r="B30" s="67" t="s">
        <v>248</v>
      </c>
      <c r="C30" s="68"/>
      <c r="D30" s="69" t="n">
        <f aca="false">D25+D26+D27+D28+D29</f>
        <v>21709.0735089588</v>
      </c>
      <c r="E30" s="69" t="n">
        <f aca="false">E25+E26+E27+E28+E29</f>
        <v>23346.6927497433</v>
      </c>
      <c r="F30" s="69" t="n">
        <f aca="false">F25+F26+F27+F28+F29</f>
        <v>24550.1305203487</v>
      </c>
      <c r="G30" s="69" t="n">
        <f aca="false">G25+G26+G27+G28+G29</f>
        <v>25041.1331307556</v>
      </c>
      <c r="H30" s="69" t="n">
        <f aca="false">H25+H26+H27+H28+H29</f>
        <v>25541.9557933708</v>
      </c>
      <c r="I30" s="69" t="n">
        <f aca="false">I25+I26+I27+I28+I29</f>
        <v>26052.7949092382</v>
      </c>
      <c r="J30" s="69" t="n">
        <f aca="false">J25+J26+J27+J28+J29</f>
        <v>26573.8508074229</v>
      </c>
      <c r="K30" s="69" t="n">
        <f aca="false">K25+K26+K27+K28+K29</f>
        <v>27105.3278235714</v>
      </c>
      <c r="L30" s="69" t="n">
        <f aca="false">L25+L26+L27+L28+L29</f>
        <v>27647.4343800428</v>
      </c>
      <c r="M30" s="69" t="n">
        <f aca="false">M25+M26+M27+M28+M29</f>
        <v>28200.3830676437</v>
      </c>
    </row>
    <row r="31" customFormat="false" ht="15" hidden="false" customHeight="false" outlineLevel="0" collapsed="false">
      <c r="A31" s="1"/>
      <c r="B31" s="1"/>
      <c r="C31" s="1"/>
      <c r="D31" s="1"/>
      <c r="E31" s="1"/>
      <c r="F31" s="1"/>
      <c r="G31" s="1"/>
      <c r="H31" s="1"/>
      <c r="I31" s="1"/>
      <c r="J31" s="1"/>
      <c r="K31" s="1"/>
      <c r="L31" s="1"/>
      <c r="M31" s="1"/>
    </row>
    <row r="32" customFormat="false" ht="19.5" hidden="false" customHeight="true" outlineLevel="0" collapsed="false">
      <c r="A32" s="1"/>
      <c r="B32" s="14" t="s">
        <v>249</v>
      </c>
      <c r="C32" s="15"/>
      <c r="D32" s="15"/>
      <c r="E32" s="15"/>
      <c r="F32" s="15"/>
      <c r="G32" s="15"/>
      <c r="H32" s="15"/>
      <c r="I32" s="15"/>
      <c r="J32" s="15"/>
      <c r="K32" s="15"/>
      <c r="L32" s="15"/>
      <c r="M32" s="15"/>
    </row>
    <row r="33" customFormat="false" ht="15" hidden="false" customHeight="false" outlineLevel="0" collapsed="false">
      <c r="A33" s="1"/>
      <c r="B33" s="61" t="s">
        <v>250</v>
      </c>
      <c r="C33" s="59"/>
      <c r="D33" s="66" t="n">
        <f aca="false">Hypothèses!$C$72*Hypothèses!$C$73*D12</f>
        <v>9600</v>
      </c>
      <c r="E33" s="66" t="n">
        <f aca="false">Hypothèses!$C$72*Hypothèses!$C$73*E12</f>
        <v>9840</v>
      </c>
      <c r="F33" s="66" t="n">
        <f aca="false">Hypothèses!$C$72*Hypothèses!$C$73*F12</f>
        <v>10086</v>
      </c>
      <c r="G33" s="66" t="n">
        <f aca="false">Hypothèses!$C$72*Hypothèses!$C$73*G12</f>
        <v>10338.15</v>
      </c>
      <c r="H33" s="66" t="n">
        <f aca="false">Hypothèses!$C$72*Hypothèses!$C$73*H12</f>
        <v>10596.60375</v>
      </c>
      <c r="I33" s="66" t="n">
        <f aca="false">Hypothèses!$C$72*Hypothèses!$C$73*I12</f>
        <v>10861.51884375</v>
      </c>
      <c r="J33" s="66" t="n">
        <f aca="false">Hypothèses!$C$72*Hypothèses!$C$73*J12</f>
        <v>11133.0568148437</v>
      </c>
      <c r="K33" s="66" t="n">
        <f aca="false">Hypothèses!$C$72*Hypothèses!$C$73*K12</f>
        <v>11411.3832352148</v>
      </c>
      <c r="L33" s="66" t="n">
        <f aca="false">Hypothèses!$C$72*Hypothèses!$C$73*L12</f>
        <v>11696.6678160952</v>
      </c>
      <c r="M33" s="66" t="n">
        <f aca="false">Hypothèses!$C$72*Hypothèses!$C$73*M12</f>
        <v>11989.0845114976</v>
      </c>
    </row>
    <row r="34" customFormat="false" ht="15" hidden="false" customHeight="false" outlineLevel="0" collapsed="false">
      <c r="A34" s="1"/>
      <c r="B34" s="61" t="s">
        <v>251</v>
      </c>
      <c r="C34" s="59"/>
      <c r="D34" s="66" t="n">
        <f aca="false">Hypothèses!$C$74*Hypothèses!$C$49*D11</f>
        <v>4535.73097336562</v>
      </c>
      <c r="E34" s="66" t="n">
        <f aca="false">Hypothèses!$C$74*Hypothèses!$C$49*E11</f>
        <v>4626.44559283293</v>
      </c>
      <c r="F34" s="66" t="n">
        <f aca="false">Hypothèses!$C$74*Hypothèses!$C$49*F11</f>
        <v>4718.97450468959</v>
      </c>
      <c r="G34" s="66" t="n">
        <f aca="false">Hypothèses!$C$74*Hypothèses!$C$49*G11</f>
        <v>4813.35399478338</v>
      </c>
      <c r="H34" s="66" t="n">
        <f aca="false">Hypothèses!$C$74*Hypothèses!$C$49*H11</f>
        <v>4909.62107467905</v>
      </c>
      <c r="I34" s="66" t="n">
        <f aca="false">Hypothèses!$C$74*Hypothèses!$C$49*I11</f>
        <v>5007.81349617263</v>
      </c>
      <c r="J34" s="66" t="n">
        <f aca="false">Hypothèses!$C$74*Hypothèses!$C$49*J11</f>
        <v>5107.96976609608</v>
      </c>
      <c r="K34" s="66" t="n">
        <f aca="false">Hypothèses!$C$74*Hypothèses!$C$49*K11</f>
        <v>5210.129161418</v>
      </c>
      <c r="L34" s="66" t="n">
        <f aca="false">Hypothèses!$C$74*Hypothèses!$C$49*L11</f>
        <v>5314.33174464636</v>
      </c>
      <c r="M34" s="66" t="n">
        <f aca="false">Hypothèses!$C$74*Hypothèses!$C$49*M11</f>
        <v>5420.61837953929</v>
      </c>
    </row>
    <row r="35" customFormat="false" ht="15" hidden="false" customHeight="false" outlineLevel="0" collapsed="false">
      <c r="A35" s="1"/>
      <c r="B35" s="61" t="s">
        <v>252</v>
      </c>
      <c r="C35" s="59"/>
      <c r="D35" s="66" t="n">
        <f aca="false">Hypothèses!$C$75*Hypothèses!$C$49*D11</f>
        <v>3580.84024213075</v>
      </c>
      <c r="E35" s="66" t="n">
        <f aca="false">Hypothèses!$C$75*Hypothèses!$C$49*E11</f>
        <v>3652.45704697337</v>
      </c>
      <c r="F35" s="66" t="n">
        <f aca="false">Hypothèses!$C$75*Hypothèses!$C$49*F11</f>
        <v>3725.50618791283</v>
      </c>
      <c r="G35" s="66" t="n">
        <f aca="false">Hypothèses!$C$75*Hypothèses!$C$49*G11</f>
        <v>3800.01631167109</v>
      </c>
      <c r="H35" s="66" t="n">
        <f aca="false">Hypothèses!$C$75*Hypothèses!$C$49*H11</f>
        <v>3876.01663790451</v>
      </c>
      <c r="I35" s="66" t="n">
        <f aca="false">Hypothèses!$C$75*Hypothèses!$C$49*I11</f>
        <v>3953.5369706626</v>
      </c>
      <c r="J35" s="66" t="n">
        <f aca="false">Hypothèses!$C$75*Hypothèses!$C$49*J11</f>
        <v>4032.60771007585</v>
      </c>
      <c r="K35" s="66" t="n">
        <f aca="false">Hypothèses!$C$75*Hypothèses!$C$49*K11</f>
        <v>4113.25986427737</v>
      </c>
      <c r="L35" s="66" t="n">
        <f aca="false">Hypothèses!$C$75*Hypothèses!$C$49*L11</f>
        <v>4195.52506156292</v>
      </c>
      <c r="M35" s="66" t="n">
        <f aca="false">Hypothèses!$C$75*Hypothèses!$C$49*M11</f>
        <v>4279.43556279418</v>
      </c>
    </row>
    <row r="36" customFormat="false" ht="15" hidden="false" customHeight="false" outlineLevel="0" collapsed="false">
      <c r="A36" s="1"/>
      <c r="B36" s="61" t="s">
        <v>253</v>
      </c>
      <c r="C36" s="59"/>
      <c r="D36" s="66" t="n">
        <f aca="false">Hypothèses!$C$76*Hypothèses!$C$49*D11</f>
        <v>3580.84024213075</v>
      </c>
      <c r="E36" s="66" t="n">
        <f aca="false">Hypothèses!$C$76*Hypothèses!$C$49*E11</f>
        <v>3652.45704697337</v>
      </c>
      <c r="F36" s="66" t="n">
        <f aca="false">Hypothèses!$C$76*Hypothèses!$C$49*F11</f>
        <v>3725.50618791283</v>
      </c>
      <c r="G36" s="66" t="n">
        <f aca="false">Hypothèses!$C$76*Hypothèses!$C$49*G11</f>
        <v>3800.01631167109</v>
      </c>
      <c r="H36" s="66" t="n">
        <f aca="false">Hypothèses!$C$76*Hypothèses!$C$49*H11</f>
        <v>3876.01663790451</v>
      </c>
      <c r="I36" s="66" t="n">
        <f aca="false">Hypothèses!$C$76*Hypothèses!$C$49*I11</f>
        <v>3953.5369706626</v>
      </c>
      <c r="J36" s="66" t="n">
        <f aca="false">Hypothèses!$C$76*Hypothèses!$C$49*J11</f>
        <v>4032.60771007585</v>
      </c>
      <c r="K36" s="66" t="n">
        <f aca="false">Hypothèses!$C$76*Hypothèses!$C$49*K11</f>
        <v>4113.25986427737</v>
      </c>
      <c r="L36" s="66" t="n">
        <f aca="false">Hypothèses!$C$76*Hypothèses!$C$49*L11</f>
        <v>4195.52506156292</v>
      </c>
      <c r="M36" s="66" t="n">
        <f aca="false">Hypothèses!$C$76*Hypothèses!$C$49*M11</f>
        <v>4279.43556279418</v>
      </c>
    </row>
    <row r="37" customFormat="false" ht="15" hidden="false" customHeight="false" outlineLevel="0" collapsed="false">
      <c r="A37" s="1"/>
      <c r="B37" s="61" t="s">
        <v>254</v>
      </c>
      <c r="C37" s="59"/>
      <c r="D37" s="66" t="n">
        <f aca="false">Hypothèses!$C$77*Hypothèses!$C$49*D11</f>
        <v>3580.84024213075</v>
      </c>
      <c r="E37" s="66" t="n">
        <f aca="false">Hypothèses!$C$77*Hypothèses!$C$49*E11</f>
        <v>3652.45704697337</v>
      </c>
      <c r="F37" s="66" t="n">
        <f aca="false">Hypothèses!$C$77*Hypothèses!$C$49*F11</f>
        <v>3725.50618791283</v>
      </c>
      <c r="G37" s="66" t="n">
        <f aca="false">Hypothèses!$C$77*Hypothèses!$C$49*G11</f>
        <v>3800.01631167109</v>
      </c>
      <c r="H37" s="66" t="n">
        <f aca="false">Hypothèses!$C$77*Hypothèses!$C$49*H11</f>
        <v>3876.01663790451</v>
      </c>
      <c r="I37" s="66" t="n">
        <f aca="false">Hypothèses!$C$77*Hypothèses!$C$49*I11</f>
        <v>3953.5369706626</v>
      </c>
      <c r="J37" s="66" t="n">
        <f aca="false">Hypothèses!$C$77*Hypothèses!$C$49*J11</f>
        <v>4032.60771007585</v>
      </c>
      <c r="K37" s="66" t="n">
        <f aca="false">Hypothèses!$C$77*Hypothèses!$C$49*K11</f>
        <v>4113.25986427737</v>
      </c>
      <c r="L37" s="66" t="n">
        <f aca="false">Hypothèses!$C$77*Hypothèses!$C$49*L11</f>
        <v>4195.52506156292</v>
      </c>
      <c r="M37" s="66" t="n">
        <f aca="false">Hypothèses!$C$77*Hypothèses!$C$49*M11</f>
        <v>4279.43556279418</v>
      </c>
    </row>
    <row r="38" customFormat="false" ht="15" hidden="false" customHeight="false" outlineLevel="0" collapsed="false">
      <c r="A38" s="1"/>
      <c r="B38" s="61" t="s">
        <v>255</v>
      </c>
      <c r="C38" s="59"/>
      <c r="D38" s="66" t="n">
        <f aca="false">Hypothèses!$C$78*D11</f>
        <v>1500</v>
      </c>
      <c r="E38" s="66" t="n">
        <f aca="false">Hypothèses!$C$78*E11</f>
        <v>1530</v>
      </c>
      <c r="F38" s="66" t="n">
        <f aca="false">Hypothèses!$C$78*F11</f>
        <v>1560.6</v>
      </c>
      <c r="G38" s="66" t="n">
        <f aca="false">Hypothèses!$C$78*G11</f>
        <v>1591.812</v>
      </c>
      <c r="H38" s="66" t="n">
        <f aca="false">Hypothèses!$C$78*H11</f>
        <v>1623.64824</v>
      </c>
      <c r="I38" s="66" t="n">
        <f aca="false">Hypothèses!$C$78*I11</f>
        <v>1656.1212048</v>
      </c>
      <c r="J38" s="66" t="n">
        <f aca="false">Hypothèses!$C$78*J11</f>
        <v>1689.243628896</v>
      </c>
      <c r="K38" s="66" t="n">
        <f aca="false">Hypothèses!$C$78*K11</f>
        <v>1723.02850147392</v>
      </c>
      <c r="L38" s="66" t="n">
        <f aca="false">Hypothèses!$C$78*L11</f>
        <v>1757.4890715034</v>
      </c>
      <c r="M38" s="66" t="n">
        <f aca="false">Hypothèses!$C$78*M11</f>
        <v>1792.63885293347</v>
      </c>
    </row>
    <row r="39" customFormat="false" ht="15" hidden="false" customHeight="false" outlineLevel="0" collapsed="false">
      <c r="A39" s="1"/>
      <c r="B39" s="61" t="s">
        <v>152</v>
      </c>
      <c r="C39" s="59"/>
      <c r="D39" s="66" t="n">
        <f aca="false">Hypothèses!$C$79*D11</f>
        <v>1500</v>
      </c>
      <c r="E39" s="66" t="n">
        <f aca="false">Hypothèses!$C$79*E11</f>
        <v>1530</v>
      </c>
      <c r="F39" s="66" t="n">
        <f aca="false">Hypothèses!$C$79*F11</f>
        <v>1560.6</v>
      </c>
      <c r="G39" s="66" t="n">
        <f aca="false">Hypothèses!$C$79*G11</f>
        <v>1591.812</v>
      </c>
      <c r="H39" s="66" t="n">
        <f aca="false">Hypothèses!$C$79*H11</f>
        <v>1623.64824</v>
      </c>
      <c r="I39" s="66" t="n">
        <f aca="false">Hypothèses!$C$79*I11</f>
        <v>1656.1212048</v>
      </c>
      <c r="J39" s="66" t="n">
        <f aca="false">Hypothèses!$C$79*J11</f>
        <v>1689.243628896</v>
      </c>
      <c r="K39" s="66" t="n">
        <f aca="false">Hypothèses!$C$79*K11</f>
        <v>1723.02850147392</v>
      </c>
      <c r="L39" s="66" t="n">
        <f aca="false">Hypothèses!$C$79*L11</f>
        <v>1757.4890715034</v>
      </c>
      <c r="M39" s="66" t="n">
        <f aca="false">Hypothèses!$C$79*M11</f>
        <v>1792.63885293347</v>
      </c>
    </row>
    <row r="40" customFormat="false" ht="15" hidden="false" customHeight="false" outlineLevel="0" collapsed="false">
      <c r="A40" s="1"/>
      <c r="B40" s="61" t="s">
        <v>256</v>
      </c>
      <c r="C40" s="59"/>
      <c r="D40" s="66" t="n">
        <f aca="false">Hypothèses!$C$80*D11</f>
        <v>2500</v>
      </c>
      <c r="E40" s="66" t="n">
        <f aca="false">Hypothèses!$C$80*E11</f>
        <v>2550</v>
      </c>
      <c r="F40" s="66" t="n">
        <f aca="false">Hypothèses!$C$80*F11</f>
        <v>2601</v>
      </c>
      <c r="G40" s="66" t="n">
        <f aca="false">Hypothèses!$C$80*G11</f>
        <v>2653.02</v>
      </c>
      <c r="H40" s="66" t="n">
        <f aca="false">Hypothèses!$C$80*H11</f>
        <v>2706.0804</v>
      </c>
      <c r="I40" s="66" t="n">
        <f aca="false">Hypothèses!$C$80*I11</f>
        <v>2760.202008</v>
      </c>
      <c r="J40" s="66" t="n">
        <f aca="false">Hypothèses!$C$80*J11</f>
        <v>2815.40604816</v>
      </c>
      <c r="K40" s="66" t="n">
        <f aca="false">Hypothèses!$C$80*K11</f>
        <v>2871.7141691232</v>
      </c>
      <c r="L40" s="66" t="n">
        <f aca="false">Hypothèses!$C$80*L11</f>
        <v>2929.14845250566</v>
      </c>
      <c r="M40" s="66" t="n">
        <f aca="false">Hypothèses!$C$80*M11</f>
        <v>2987.73142155578</v>
      </c>
    </row>
    <row r="41" customFormat="false" ht="15" hidden="false" customHeight="false" outlineLevel="0" collapsed="false">
      <c r="A41" s="1"/>
      <c r="B41" s="61" t="s">
        <v>257</v>
      </c>
      <c r="C41" s="59"/>
      <c r="D41" s="66" t="n">
        <f aca="false">Hypothèses!$C$81*Hypothèses!$C$49*D11</f>
        <v>2387.22682808717</v>
      </c>
      <c r="E41" s="66" t="n">
        <f aca="false">Hypothèses!$C$81*Hypothèses!$C$49*E11</f>
        <v>2434.97136464891</v>
      </c>
      <c r="F41" s="66" t="n">
        <f aca="false">Hypothèses!$C$81*Hypothèses!$C$49*F11</f>
        <v>2483.67079194189</v>
      </c>
      <c r="G41" s="66" t="n">
        <f aca="false">Hypothèses!$C$81*Hypothèses!$C$49*G11</f>
        <v>2533.34420778073</v>
      </c>
      <c r="H41" s="66" t="n">
        <f aca="false">Hypothèses!$C$81*Hypothèses!$C$49*H11</f>
        <v>2584.01109193634</v>
      </c>
      <c r="I41" s="66" t="n">
        <f aca="false">Hypothèses!$C$81*Hypothèses!$C$49*I11</f>
        <v>2635.69131377507</v>
      </c>
      <c r="J41" s="66" t="n">
        <f aca="false">Hypothèses!$C$81*Hypothèses!$C$49*J11</f>
        <v>2688.40514005057</v>
      </c>
      <c r="K41" s="66" t="n">
        <f aca="false">Hypothèses!$C$81*Hypothèses!$C$49*K11</f>
        <v>2742.17324285158</v>
      </c>
      <c r="L41" s="66" t="n">
        <f aca="false">Hypothèses!$C$81*Hypothèses!$C$49*L11</f>
        <v>2797.01670770861</v>
      </c>
      <c r="M41" s="66" t="n">
        <f aca="false">Hypothèses!$C$81*Hypothèses!$C$49*M11</f>
        <v>2852.95704186279</v>
      </c>
    </row>
    <row r="42" customFormat="false" ht="15" hidden="false" customHeight="false" outlineLevel="0" collapsed="false">
      <c r="A42" s="1"/>
      <c r="B42" s="67" t="s">
        <v>258</v>
      </c>
      <c r="C42" s="68"/>
      <c r="D42" s="69" t="n">
        <f aca="false">D33+D34+D35+D36+D37+D38+D39+D40+D41</f>
        <v>32765.478527845</v>
      </c>
      <c r="E42" s="69" t="n">
        <f aca="false">E33+E34+E35+E36+E37+E38+E39+E40+E41</f>
        <v>33468.7880984019</v>
      </c>
      <c r="F42" s="69" t="n">
        <f aca="false">F33+F34+F35+F36+F37+F38+F39+F40+F41</f>
        <v>34187.36386037</v>
      </c>
      <c r="G42" s="69" t="n">
        <f aca="false">G33+G34+G35+G36+G37+G38+G39+G40+G41</f>
        <v>34921.5411375774</v>
      </c>
      <c r="H42" s="69" t="n">
        <f aca="false">H33+H34+H35+H36+H37+H38+H39+H40+H41</f>
        <v>35671.6627103289</v>
      </c>
      <c r="I42" s="69" t="n">
        <f aca="false">I33+I34+I35+I36+I37+I38+I39+I40+I41</f>
        <v>36438.0789832855</v>
      </c>
      <c r="J42" s="69" t="n">
        <f aca="false">J33+J34+J35+J36+J37+J38+J39+J40+J41</f>
        <v>37221.14815717</v>
      </c>
      <c r="K42" s="69" t="n">
        <f aca="false">K33+K34+K35+K36+K37+K38+K39+K40+K41</f>
        <v>38021.2364043876</v>
      </c>
      <c r="L42" s="69" t="n">
        <f aca="false">L33+L34+L35+L36+L37+L38+L39+L40+L41</f>
        <v>38838.7180486514</v>
      </c>
      <c r="M42" s="69" t="n">
        <f aca="false">M33+M34+M35+M36+M37+M38+M39+M40+M41</f>
        <v>39673.9757487049</v>
      </c>
    </row>
    <row r="43" customFormat="false" ht="15" hidden="false" customHeight="false" outlineLevel="0" collapsed="false">
      <c r="A43" s="1"/>
      <c r="B43" s="1"/>
      <c r="C43" s="1"/>
      <c r="D43" s="1"/>
      <c r="E43" s="1"/>
      <c r="F43" s="1"/>
      <c r="G43" s="1"/>
      <c r="H43" s="1"/>
      <c r="I43" s="1"/>
      <c r="J43" s="1"/>
      <c r="K43" s="1"/>
      <c r="L43" s="1"/>
      <c r="M43" s="1"/>
    </row>
    <row r="44" customFormat="false" ht="19.5" hidden="false" customHeight="true" outlineLevel="0" collapsed="false">
      <c r="A44" s="1"/>
      <c r="B44" s="14" t="s">
        <v>259</v>
      </c>
      <c r="C44" s="15"/>
      <c r="D44" s="15"/>
      <c r="E44" s="15"/>
      <c r="F44" s="15"/>
      <c r="G44" s="15"/>
      <c r="H44" s="15"/>
      <c r="I44" s="15"/>
      <c r="J44" s="15"/>
      <c r="K44" s="15"/>
      <c r="L44" s="15"/>
      <c r="M44" s="15"/>
    </row>
    <row r="45" customFormat="false" ht="15" hidden="false" customHeight="false" outlineLevel="0" collapsed="false">
      <c r="A45" s="1"/>
      <c r="B45" s="67" t="s">
        <v>260</v>
      </c>
      <c r="C45" s="68"/>
      <c r="D45" s="69" t="n">
        <f aca="false">D22-D30-D42</f>
        <v>55337.8820552058</v>
      </c>
      <c r="E45" s="69" t="n">
        <f aca="false">E22-E30-E42</f>
        <v>61280.6303373269</v>
      </c>
      <c r="F45" s="69" t="n">
        <f aca="false">F22-F30-F42</f>
        <v>65446.0452163758</v>
      </c>
      <c r="G45" s="69" t="n">
        <f aca="false">G22-G30-G42</f>
        <v>66704.5361207033</v>
      </c>
      <c r="H45" s="69" t="n">
        <f aca="false">H22-H30-H42</f>
        <v>67986.9360931174</v>
      </c>
      <c r="I45" s="69" t="n">
        <f aca="false">I22-I30-I42</f>
        <v>69293.6917962297</v>
      </c>
      <c r="J45" s="69" t="n">
        <f aca="false">J22-J30-J42</f>
        <v>70625.2580379356</v>
      </c>
      <c r="K45" s="69" t="n">
        <f aca="false">K22-K30-K42</f>
        <v>71982.09791462</v>
      </c>
      <c r="L45" s="69" t="n">
        <f aca="false">L22-L30-L42</f>
        <v>73364.6829567364</v>
      </c>
      <c r="M45" s="69" t="n">
        <f aca="false">M22-M30-M42</f>
        <v>74773.4932767907</v>
      </c>
    </row>
    <row r="46" customFormat="false" ht="15" hidden="false" customHeight="false" outlineLevel="0" collapsed="false">
      <c r="A46" s="1"/>
      <c r="B46" s="58" t="s">
        <v>261</v>
      </c>
      <c r="C46" s="59"/>
      <c r="D46" s="70" t="n">
        <f aca="false">IF(D22=0,0,D45/D22)</f>
        <v>0.50393093016078</v>
      </c>
      <c r="E46" s="70" t="n">
        <f aca="false">IF(E22=0,0,E45/E22)</f>
        <v>0.518904727024284</v>
      </c>
      <c r="F46" s="70" t="n">
        <f aca="false">IF(F22=0,0,F45/F22)</f>
        <v>0.527010628209756</v>
      </c>
      <c r="G46" s="70" t="n">
        <f aca="false">IF(G22=0,0,G45/G22)</f>
        <v>0.526612498339799</v>
      </c>
      <c r="H46" s="70" t="n">
        <f aca="false">IF(H22=0,0,H45/H22)</f>
        <v>0.526212416852832</v>
      </c>
      <c r="I46" s="70" t="n">
        <f aca="false">IF(I22=0,0,I45/I22)</f>
        <v>0.525810374182106</v>
      </c>
      <c r="J46" s="70" t="n">
        <f aca="false">IF(J22=0,0,J45/J22)</f>
        <v>0.525406360713974</v>
      </c>
      <c r="K46" s="70" t="n">
        <f aca="false">IF(K22=0,0,K45/K22)</f>
        <v>0.525000366787665</v>
      </c>
      <c r="L46" s="70" t="n">
        <f aca="false">IF(L22=0,0,L45/L22)</f>
        <v>0.524592382695051</v>
      </c>
      <c r="M46" s="70" t="n">
        <f aca="false">IF(M22=0,0,M45/M22)</f>
        <v>0.524182398680414</v>
      </c>
    </row>
    <row r="47" customFormat="false" ht="15" hidden="false" customHeight="false" outlineLevel="0" collapsed="false">
      <c r="A47" s="1"/>
      <c r="B47" s="1"/>
      <c r="C47" s="1"/>
      <c r="D47" s="1"/>
      <c r="E47" s="1"/>
      <c r="F47" s="1"/>
      <c r="G47" s="1"/>
      <c r="H47" s="1"/>
      <c r="I47" s="1"/>
      <c r="J47" s="1"/>
      <c r="K47" s="1"/>
      <c r="L47" s="1"/>
      <c r="M47" s="1"/>
    </row>
    <row r="48" customFormat="false" ht="19.5" hidden="false" customHeight="true" outlineLevel="0" collapsed="false">
      <c r="A48" s="1"/>
      <c r="B48" s="14" t="s">
        <v>262</v>
      </c>
      <c r="C48" s="15"/>
      <c r="D48" s="15"/>
      <c r="E48" s="15"/>
      <c r="F48" s="15"/>
      <c r="G48" s="15"/>
      <c r="H48" s="15"/>
      <c r="I48" s="15"/>
      <c r="J48" s="15"/>
      <c r="K48" s="15"/>
      <c r="L48" s="15"/>
      <c r="M48" s="15"/>
    </row>
    <row r="49" customFormat="false" ht="15" hidden="false" customHeight="false" outlineLevel="0" collapsed="false">
      <c r="A49" s="1"/>
      <c r="B49" s="61" t="s">
        <v>263</v>
      </c>
      <c r="C49" s="59"/>
      <c r="D49" s="66" t="n">
        <f aca="false">D22*Hypothèses!$C$82</f>
        <v>4392.49736368039</v>
      </c>
      <c r="E49" s="66" t="n">
        <f aca="false">E22*Hypothèses!$C$82</f>
        <v>4723.84444741889</v>
      </c>
      <c r="F49" s="66" t="n">
        <f aca="false">F22*Hypothèses!$C$82</f>
        <v>4967.34158388378</v>
      </c>
      <c r="G49" s="66" t="n">
        <f aca="false">G22*Hypothèses!$C$82</f>
        <v>5066.68841556145</v>
      </c>
      <c r="H49" s="66" t="n">
        <f aca="false">H22*Hypothèses!$C$82</f>
        <v>5168.02218387268</v>
      </c>
      <c r="I49" s="66" t="n">
        <f aca="false">I22*Hypothèses!$C$82</f>
        <v>5271.38262755014</v>
      </c>
      <c r="J49" s="66" t="n">
        <f aca="false">J22*Hypothèses!$C$82</f>
        <v>5376.81028010114</v>
      </c>
      <c r="K49" s="66" t="n">
        <f aca="false">K22*Hypothèses!$C$82</f>
        <v>5484.34648570316</v>
      </c>
      <c r="L49" s="66" t="n">
        <f aca="false">L22*Hypothèses!$C$82</f>
        <v>5594.03341541722</v>
      </c>
      <c r="M49" s="66" t="n">
        <f aca="false">M22*Hypothèses!$C$82</f>
        <v>5705.91408372557</v>
      </c>
    </row>
    <row r="50" customFormat="false" ht="15" hidden="false" customHeight="false" outlineLevel="0" collapsed="false">
      <c r="A50" s="1"/>
      <c r="B50" s="61" t="s">
        <v>264</v>
      </c>
      <c r="C50" s="59"/>
      <c r="D50" s="66" t="n">
        <f aca="false">D22*Hypothèses!$C$118</f>
        <v>14055.9915637772</v>
      </c>
      <c r="E50" s="66" t="n">
        <f aca="false">E22*Hypothèses!$C$118</f>
        <v>15116.3022317404</v>
      </c>
      <c r="F50" s="66" t="n">
        <f aca="false">F22*Hypothèses!$C$118</f>
        <v>15895.4930684281</v>
      </c>
      <c r="G50" s="66" t="n">
        <f aca="false">G22*Hypothèses!$C$118</f>
        <v>16213.4029297966</v>
      </c>
      <c r="H50" s="66" t="n">
        <f aca="false">H22*Hypothèses!$C$118</f>
        <v>16537.6709883926</v>
      </c>
      <c r="I50" s="66" t="n">
        <f aca="false">I22*Hypothèses!$C$118</f>
        <v>16868.4244081604</v>
      </c>
      <c r="J50" s="66" t="n">
        <f aca="false">J22*Hypothèses!$C$118</f>
        <v>17205.7928963236</v>
      </c>
      <c r="K50" s="66" t="n">
        <f aca="false">K22*Hypothèses!$C$118</f>
        <v>17549.9087542501</v>
      </c>
      <c r="L50" s="66" t="n">
        <f aca="false">L22*Hypothèses!$C$118</f>
        <v>17900.9069293351</v>
      </c>
      <c r="M50" s="66" t="n">
        <f aca="false">M22*Hypothèses!$C$118</f>
        <v>18258.9250679218</v>
      </c>
    </row>
    <row r="51" customFormat="false" ht="15" hidden="false" customHeight="false" outlineLevel="0" collapsed="false">
      <c r="A51" s="1"/>
      <c r="B51" s="61" t="s">
        <v>265</v>
      </c>
      <c r="C51" s="59"/>
      <c r="D51" s="66" t="n">
        <f aca="false">Financement!D54</f>
        <v>34789.8261592964</v>
      </c>
      <c r="E51" s="66" t="n">
        <f aca="false">Financement!E54</f>
        <v>34789.8261592964</v>
      </c>
      <c r="F51" s="66" t="n">
        <f aca="false">Financement!F54</f>
        <v>34789.8261592964</v>
      </c>
      <c r="G51" s="66" t="n">
        <f aca="false">Financement!G54</f>
        <v>34789.8261592964</v>
      </c>
      <c r="H51" s="66" t="n">
        <f aca="false">Financement!H54</f>
        <v>34789.8261592964</v>
      </c>
      <c r="I51" s="66" t="n">
        <f aca="false">Financement!I54</f>
        <v>34789.8261592964</v>
      </c>
      <c r="J51" s="66" t="n">
        <f aca="false">Financement!J54</f>
        <v>34789.8261592964</v>
      </c>
      <c r="K51" s="66" t="n">
        <f aca="false">Financement!K54</f>
        <v>34789.8261592964</v>
      </c>
      <c r="L51" s="66" t="n">
        <f aca="false">Financement!L54</f>
        <v>34789.8261592964</v>
      </c>
      <c r="M51" s="66" t="n">
        <f aca="false">Financement!M54</f>
        <v>34789.8261592964</v>
      </c>
    </row>
    <row r="52" customFormat="false" ht="15" hidden="false" customHeight="false" outlineLevel="0" collapsed="false">
      <c r="A52" s="1"/>
      <c r="B52" s="58" t="s">
        <v>266</v>
      </c>
      <c r="C52" s="59"/>
      <c r="D52" s="71" t="n">
        <f aca="false">D51*Hypothèses!$C$87</f>
        <v>20873.8956955779</v>
      </c>
      <c r="E52" s="71" t="n">
        <f aca="false">E51*Hypothèses!$C$87</f>
        <v>20873.8956955779</v>
      </c>
      <c r="F52" s="71" t="n">
        <f aca="false">F51*Hypothèses!$C$87</f>
        <v>20873.8956955779</v>
      </c>
      <c r="G52" s="71" t="n">
        <f aca="false">G51*Hypothèses!$C$87</f>
        <v>20873.8956955779</v>
      </c>
      <c r="H52" s="71" t="n">
        <f aca="false">H51*Hypothèses!$C$87</f>
        <v>20873.8956955779</v>
      </c>
      <c r="I52" s="71" t="n">
        <f aca="false">I51*Hypothèses!$C$87</f>
        <v>20873.8956955779</v>
      </c>
      <c r="J52" s="71" t="n">
        <f aca="false">J51*Hypothèses!$C$87</f>
        <v>20873.8956955779</v>
      </c>
      <c r="K52" s="71" t="n">
        <f aca="false">K51*Hypothèses!$C$87</f>
        <v>20873.8956955779</v>
      </c>
      <c r="L52" s="71" t="n">
        <f aca="false">L51*Hypothèses!$C$87</f>
        <v>20873.8956955779</v>
      </c>
      <c r="M52" s="71" t="n">
        <f aca="false">M51*Hypothèses!$C$87</f>
        <v>20873.8956955779</v>
      </c>
    </row>
    <row r="53" customFormat="false" ht="15" hidden="false" customHeight="false" outlineLevel="0" collapsed="false">
      <c r="A53" s="1"/>
      <c r="B53" s="61" t="s">
        <v>267</v>
      </c>
      <c r="C53" s="59"/>
      <c r="D53" s="66" t="n">
        <f aca="false">Financement!D58</f>
        <v>15719.5571419776</v>
      </c>
      <c r="E53" s="66" t="n">
        <f aca="false">Financement!E58</f>
        <v>15719.5571419776</v>
      </c>
      <c r="F53" s="66" t="n">
        <f aca="false">Financement!F58</f>
        <v>15719.5571419776</v>
      </c>
      <c r="G53" s="66" t="n">
        <f aca="false">Financement!G58</f>
        <v>15719.5571419776</v>
      </c>
      <c r="H53" s="66" t="n">
        <f aca="false">Financement!H58</f>
        <v>15719.5571419776</v>
      </c>
      <c r="I53" s="66" t="n">
        <f aca="false">Financement!I58</f>
        <v>15719.5571419776</v>
      </c>
      <c r="J53" s="66" t="n">
        <f aca="false">Financement!J58</f>
        <v>15719.5571419776</v>
      </c>
      <c r="K53" s="66" t="n">
        <f aca="false">Financement!K58</f>
        <v>0</v>
      </c>
      <c r="L53" s="66" t="n">
        <f aca="false">Financement!L58</f>
        <v>0</v>
      </c>
      <c r="M53" s="66" t="n">
        <f aca="false">Financement!M58</f>
        <v>0</v>
      </c>
    </row>
    <row r="54" customFormat="false" ht="15" hidden="false" customHeight="false" outlineLevel="0" collapsed="false">
      <c r="A54" s="1"/>
      <c r="B54" s="67" t="s">
        <v>268</v>
      </c>
      <c r="C54" s="68"/>
      <c r="D54" s="69" t="n">
        <f aca="false">D52+D53</f>
        <v>36593.4528375554</v>
      </c>
      <c r="E54" s="69" t="n">
        <f aca="false">E52+E53</f>
        <v>36593.4528375554</v>
      </c>
      <c r="F54" s="69" t="n">
        <f aca="false">F52+F53</f>
        <v>36593.4528375554</v>
      </c>
      <c r="G54" s="69" t="n">
        <f aca="false">G52+G53</f>
        <v>36593.4528375554</v>
      </c>
      <c r="H54" s="69" t="n">
        <f aca="false">H52+H53</f>
        <v>36593.4528375554</v>
      </c>
      <c r="I54" s="69" t="n">
        <f aca="false">I52+I53</f>
        <v>36593.4528375554</v>
      </c>
      <c r="J54" s="69" t="n">
        <f aca="false">J52+J53</f>
        <v>36593.4528375554</v>
      </c>
      <c r="K54" s="69" t="n">
        <f aca="false">K52+K53</f>
        <v>20873.8956955779</v>
      </c>
      <c r="L54" s="69" t="n">
        <f aca="false">L52+L53</f>
        <v>20873.8956955779</v>
      </c>
      <c r="M54" s="69" t="n">
        <f aca="false">M52+M53</f>
        <v>20873.8956955779</v>
      </c>
    </row>
    <row r="55" customFormat="false" ht="15" hidden="false" customHeight="false" outlineLevel="0" collapsed="false">
      <c r="A55" s="1"/>
      <c r="B55" s="61" t="s">
        <v>269</v>
      </c>
      <c r="C55" s="59"/>
      <c r="D55" s="66" t="n">
        <f aca="false">D51+D53</f>
        <v>50509.383301274</v>
      </c>
      <c r="E55" s="66" t="n">
        <f aca="false">E51+E53</f>
        <v>50509.383301274</v>
      </c>
      <c r="F55" s="66" t="n">
        <f aca="false">F51+F53</f>
        <v>50509.383301274</v>
      </c>
      <c r="G55" s="66" t="n">
        <f aca="false">G51+G53</f>
        <v>50509.383301274</v>
      </c>
      <c r="H55" s="66" t="n">
        <f aca="false">H51+H53</f>
        <v>50509.383301274</v>
      </c>
      <c r="I55" s="66" t="n">
        <f aca="false">I51+I53</f>
        <v>50509.383301274</v>
      </c>
      <c r="J55" s="66" t="n">
        <f aca="false">J51+J53</f>
        <v>50509.383301274</v>
      </c>
      <c r="K55" s="66" t="n">
        <f aca="false">K51+K53</f>
        <v>34789.8261592964</v>
      </c>
      <c r="L55" s="66" t="n">
        <f aca="false">L51+L53</f>
        <v>34789.8261592964</v>
      </c>
      <c r="M55" s="66" t="n">
        <f aca="false">M51+M53</f>
        <v>34789.8261592964</v>
      </c>
    </row>
    <row r="56" customFormat="false" ht="15" hidden="false" customHeight="false" outlineLevel="0" collapsed="false">
      <c r="A56" s="1"/>
      <c r="B56" s="1"/>
      <c r="C56" s="1"/>
      <c r="D56" s="1"/>
      <c r="E56" s="1"/>
      <c r="F56" s="1"/>
      <c r="G56" s="1"/>
      <c r="H56" s="1"/>
      <c r="I56" s="1"/>
      <c r="J56" s="1"/>
      <c r="K56" s="1"/>
      <c r="L56" s="1"/>
      <c r="M56" s="1"/>
    </row>
    <row r="57" customFormat="false" ht="19.5" hidden="false" customHeight="true" outlineLevel="0" collapsed="false">
      <c r="A57" s="1"/>
      <c r="B57" s="14" t="s">
        <v>270</v>
      </c>
      <c r="C57" s="15"/>
      <c r="D57" s="15"/>
      <c r="E57" s="15"/>
      <c r="F57" s="15"/>
      <c r="G57" s="15"/>
      <c r="H57" s="15"/>
      <c r="I57" s="15"/>
      <c r="J57" s="15"/>
      <c r="K57" s="15"/>
      <c r="L57" s="15"/>
      <c r="M57" s="15"/>
    </row>
    <row r="58" customFormat="false" ht="25.5" hidden="false" customHeight="true" outlineLevel="0" collapsed="false">
      <c r="A58" s="1"/>
      <c r="B58" s="67" t="s">
        <v>271</v>
      </c>
      <c r="C58" s="68" t="s">
        <v>272</v>
      </c>
      <c r="D58" s="69" t="n">
        <f aca="false">D45-D49-D50-D54</f>
        <v>295.940290192724</v>
      </c>
      <c r="E58" s="69" t="n">
        <f aca="false">E45-E49-E50-E54</f>
        <v>4847.03082061212</v>
      </c>
      <c r="F58" s="69" t="n">
        <f aca="false">F45-F49-F50-F54</f>
        <v>7989.75772650848</v>
      </c>
      <c r="G58" s="69" t="n">
        <f aca="false">G45-G49-G50-G54</f>
        <v>8830.99193778975</v>
      </c>
      <c r="H58" s="69" t="n">
        <f aca="false">H45-H49-H50-H54</f>
        <v>9687.79008329666</v>
      </c>
      <c r="I58" s="69" t="n">
        <f aca="false">I45-I49-I50-I54</f>
        <v>10560.4319229637</v>
      </c>
      <c r="J58" s="69" t="n">
        <f aca="false">J45-J49-J50-J54</f>
        <v>11449.2020239553</v>
      </c>
      <c r="K58" s="69" t="n">
        <f aca="false">K45-K49-K50-K54</f>
        <v>28073.9469790889</v>
      </c>
      <c r="L58" s="69" t="n">
        <f aca="false">L45-L49-L50-L54</f>
        <v>28995.8469164062</v>
      </c>
      <c r="M58" s="69" t="n">
        <f aca="false">M45-M49-M50-M54</f>
        <v>29934.7584295654</v>
      </c>
    </row>
    <row r="59" customFormat="false" ht="48" hidden="false" customHeight="true" outlineLevel="0" collapsed="false">
      <c r="A59" s="1"/>
      <c r="B59" s="61" t="s">
        <v>273</v>
      </c>
      <c r="C59" s="59" t="s">
        <v>274</v>
      </c>
      <c r="D59" s="66" t="n">
        <f aca="false">D45-D49-D50-D55</f>
        <v>-13619.9901735258</v>
      </c>
      <c r="E59" s="66" t="n">
        <f aca="false">E45-E49-E50-E55</f>
        <v>-9068.89964310645</v>
      </c>
      <c r="F59" s="66" t="n">
        <f aca="false">F45-F49-F50-F55</f>
        <v>-5926.17273721009</v>
      </c>
      <c r="G59" s="66" t="n">
        <f aca="false">G45-G49-G50-G55</f>
        <v>-5084.93852592882</v>
      </c>
      <c r="H59" s="66" t="n">
        <f aca="false">H45-H49-H50-H55</f>
        <v>-4228.14038042192</v>
      </c>
      <c r="I59" s="66" t="n">
        <f aca="false">I45-I49-I50-I55</f>
        <v>-3355.49854075487</v>
      </c>
      <c r="J59" s="66" t="n">
        <f aca="false">J45-J49-J50-J55</f>
        <v>-2466.72843976325</v>
      </c>
      <c r="K59" s="66" t="n">
        <f aca="false">K45-K49-K50-K55</f>
        <v>14158.0165153703</v>
      </c>
      <c r="L59" s="66" t="n">
        <f aca="false">L45-L49-L50-L55</f>
        <v>15079.9164526876</v>
      </c>
      <c r="M59" s="66" t="n">
        <f aca="false">M45-M49-M50-M55</f>
        <v>16018.8279658468</v>
      </c>
    </row>
    <row r="60" customFormat="false" ht="15" hidden="false" customHeight="false" outlineLevel="0" collapsed="false">
      <c r="A60" s="1"/>
      <c r="B60" s="61" t="s">
        <v>275</v>
      </c>
      <c r="C60" s="59"/>
      <c r="D60" s="66" t="n">
        <f aca="false">Financement!$C$15+SUM($D58:D58)</f>
        <v>10295.9402901927</v>
      </c>
      <c r="E60" s="66" t="n">
        <f aca="false">Financement!$C$15+SUM($D58:E58)</f>
        <v>15142.9711108048</v>
      </c>
      <c r="F60" s="66" t="n">
        <f aca="false">Financement!$C$15+SUM($D58:F58)</f>
        <v>23132.7288373133</v>
      </c>
      <c r="G60" s="66" t="n">
        <f aca="false">Financement!$C$15+SUM($D58:G58)</f>
        <v>31963.7207751031</v>
      </c>
      <c r="H60" s="66" t="n">
        <f aca="false">Financement!$C$15+SUM($D58:H58)</f>
        <v>41651.5108583997</v>
      </c>
      <c r="I60" s="66" t="n">
        <f aca="false">Financement!$C$15+SUM($D58:I58)</f>
        <v>52211.9427813634</v>
      </c>
      <c r="J60" s="66" t="n">
        <f aca="false">Financement!$C$15+SUM($D58:J58)</f>
        <v>63661.1448053188</v>
      </c>
      <c r="K60" s="66" t="n">
        <f aca="false">Financement!$C$15+SUM($D58:K58)</f>
        <v>91735.0917844077</v>
      </c>
      <c r="L60" s="66" t="n">
        <f aca="false">Financement!$C$15+SUM($D58:L58)</f>
        <v>120730.938700814</v>
      </c>
      <c r="M60" s="66" t="n">
        <f aca="false">Financement!$C$15+SUM($D58:M58)</f>
        <v>150665.697130379</v>
      </c>
    </row>
    <row r="61" customFormat="false" ht="15" hidden="false" customHeight="false" outlineLevel="0" collapsed="false">
      <c r="A61" s="1"/>
      <c r="B61" s="1"/>
      <c r="C61" s="1"/>
      <c r="D61" s="1"/>
      <c r="E61" s="1"/>
      <c r="F61" s="1"/>
      <c r="G61" s="1"/>
      <c r="H61" s="1"/>
      <c r="I61" s="1"/>
      <c r="J61" s="1"/>
      <c r="K61" s="1"/>
      <c r="L61" s="1"/>
      <c r="M61" s="1"/>
    </row>
    <row r="62" customFormat="false" ht="15" hidden="false" customHeight="true" outlineLevel="0" collapsed="false">
      <c r="A62" s="1"/>
      <c r="B62" s="72" t="s">
        <v>276</v>
      </c>
      <c r="C62" s="72"/>
      <c r="D62" s="72"/>
      <c r="E62" s="72"/>
      <c r="F62" s="72"/>
      <c r="G62" s="72"/>
      <c r="H62" s="72"/>
      <c r="I62" s="72"/>
      <c r="J62" s="72"/>
      <c r="K62" s="72"/>
      <c r="L62" s="72"/>
      <c r="M62" s="72"/>
    </row>
    <row r="63" customFormat="false" ht="15" hidden="false" customHeight="true" outlineLevel="0" collapsed="false">
      <c r="A63" s="1"/>
      <c r="B63" s="72" t="s">
        <v>277</v>
      </c>
      <c r="C63" s="72"/>
      <c r="D63" s="72"/>
      <c r="E63" s="72"/>
      <c r="F63" s="72"/>
      <c r="G63" s="72"/>
      <c r="H63" s="72"/>
      <c r="I63" s="72"/>
      <c r="J63" s="72"/>
      <c r="K63" s="72"/>
      <c r="L63" s="72"/>
      <c r="M63" s="72"/>
    </row>
  </sheetData>
  <mergeCells count="2">
    <mergeCell ref="B62:M62"/>
    <mergeCell ref="B63:M6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5"/>
    <col collapsed="false" customWidth="true" hidden="false" outlineLevel="0" max="13" min="4" style="0" width="12.5"/>
  </cols>
  <sheetData>
    <row r="1" customFormat="false" ht="24" hidden="false" customHeight="true" outlineLevel="0" collapsed="false">
      <c r="A1" s="1"/>
      <c r="B1" s="8" t="s">
        <v>278</v>
      </c>
      <c r="C1" s="1"/>
      <c r="D1" s="1"/>
      <c r="E1" s="1"/>
      <c r="F1" s="1"/>
      <c r="G1" s="1"/>
      <c r="H1" s="1"/>
      <c r="I1" s="1"/>
      <c r="J1" s="1"/>
      <c r="K1" s="1"/>
      <c r="L1" s="1"/>
      <c r="M1" s="1"/>
    </row>
    <row r="2" customFormat="false" ht="15" hidden="false" customHeight="false" outlineLevel="0" collapsed="false">
      <c r="A2" s="1"/>
      <c r="B2" s="9" t="s">
        <v>279</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19.5" hidden="false" customHeight="true" outlineLevel="0" collapsed="false">
      <c r="A5" s="1"/>
      <c r="B5" s="14" t="s">
        <v>280</v>
      </c>
      <c r="C5" s="15"/>
      <c r="D5" s="15"/>
      <c r="E5" s="15"/>
      <c r="F5" s="15"/>
      <c r="G5" s="15"/>
      <c r="H5" s="15"/>
      <c r="I5" s="15"/>
      <c r="J5" s="15"/>
      <c r="K5" s="15"/>
      <c r="L5" s="15"/>
      <c r="M5" s="15"/>
    </row>
    <row r="6" customFormat="false" ht="18" hidden="false" customHeight="true" outlineLevel="0" collapsed="false">
      <c r="A6" s="1"/>
      <c r="B6" s="19" t="s">
        <v>103</v>
      </c>
      <c r="C6" s="73" t="n">
        <f aca="false">Hypothèses!$C$49</f>
        <v>119361.341404358</v>
      </c>
      <c r="D6" s="21" t="s">
        <v>281</v>
      </c>
      <c r="E6" s="21"/>
      <c r="F6" s="21"/>
      <c r="G6" s="21"/>
      <c r="H6" s="21"/>
      <c r="I6" s="21"/>
      <c r="J6" s="21"/>
      <c r="K6" s="21"/>
      <c r="L6" s="21"/>
      <c r="M6" s="21"/>
    </row>
    <row r="7" customFormat="false" ht="18" hidden="false" customHeight="true" outlineLevel="0" collapsed="false">
      <c r="A7" s="1"/>
      <c r="B7" s="19" t="s">
        <v>282</v>
      </c>
      <c r="C7" s="73" t="n">
        <f aca="false">Hypothèses!$C$86</f>
        <v>520000</v>
      </c>
      <c r="D7" s="21"/>
      <c r="E7" s="21"/>
      <c r="F7" s="21"/>
      <c r="G7" s="21"/>
      <c r="H7" s="21"/>
      <c r="I7" s="21"/>
      <c r="J7" s="21"/>
      <c r="K7" s="21"/>
      <c r="L7" s="21"/>
      <c r="M7" s="21"/>
    </row>
    <row r="8" customFormat="false" ht="30" hidden="false" customHeight="true" outlineLevel="0" collapsed="false">
      <c r="A8" s="1"/>
      <c r="B8" s="19" t="s">
        <v>283</v>
      </c>
      <c r="C8" s="51" t="n">
        <f aca="false">Financement!$C$7*Hypothèses!$C$93</f>
        <v>40560</v>
      </c>
      <c r="D8" s="21" t="s">
        <v>284</v>
      </c>
      <c r="E8" s="21"/>
      <c r="F8" s="21"/>
      <c r="G8" s="21"/>
      <c r="H8" s="21"/>
      <c r="I8" s="21"/>
      <c r="J8" s="21"/>
      <c r="K8" s="21"/>
      <c r="L8" s="21"/>
      <c r="M8" s="21"/>
    </row>
    <row r="9" customFormat="false" ht="18" hidden="false" customHeight="true" outlineLevel="0" collapsed="false">
      <c r="A9" s="1"/>
      <c r="B9" s="19" t="s">
        <v>285</v>
      </c>
      <c r="C9" s="51" t="n">
        <f aca="false">Financement!$C$7*Hypothèses!$C$100</f>
        <v>20800</v>
      </c>
      <c r="D9" s="21" t="s">
        <v>286</v>
      </c>
      <c r="E9" s="21"/>
      <c r="F9" s="21"/>
      <c r="G9" s="21"/>
      <c r="H9" s="21"/>
      <c r="I9" s="21"/>
      <c r="J9" s="21"/>
      <c r="K9" s="21"/>
      <c r="L9" s="21"/>
      <c r="M9" s="21"/>
    </row>
    <row r="10" customFormat="false" ht="18" hidden="false" customHeight="true" outlineLevel="0" collapsed="false">
      <c r="A10" s="1"/>
      <c r="B10" s="19" t="s">
        <v>287</v>
      </c>
      <c r="C10" s="73" t="n">
        <f aca="false">Hypothèses!$C$101</f>
        <v>2000</v>
      </c>
      <c r="D10" s="21"/>
      <c r="E10" s="21"/>
      <c r="F10" s="21"/>
      <c r="G10" s="21"/>
      <c r="H10" s="21"/>
      <c r="I10" s="21"/>
      <c r="J10" s="21"/>
      <c r="K10" s="21"/>
      <c r="L10" s="21"/>
      <c r="M10" s="21"/>
    </row>
    <row r="11" customFormat="false" ht="18" hidden="false" customHeight="true" outlineLevel="0" collapsed="false">
      <c r="A11" s="1"/>
      <c r="B11" s="19" t="s">
        <v>288</v>
      </c>
      <c r="C11" s="73" t="n">
        <f aca="false">Hypothèses!$C$89</f>
        <v>30000</v>
      </c>
      <c r="D11" s="21"/>
      <c r="E11" s="21"/>
      <c r="F11" s="21"/>
      <c r="G11" s="21"/>
      <c r="H11" s="21"/>
      <c r="I11" s="21"/>
      <c r="J11" s="21"/>
      <c r="K11" s="21"/>
      <c r="L11" s="21"/>
      <c r="M11" s="21"/>
    </row>
    <row r="12" customFormat="false" ht="18" hidden="false" customHeight="true" outlineLevel="0" collapsed="false">
      <c r="A12" s="1"/>
      <c r="B12" s="19" t="s">
        <v>289</v>
      </c>
      <c r="C12" s="51" t="n">
        <f aca="false">Hypothèses!$C$102*(1-Hypothèses!$C$107)*SUM(C7:C11)</f>
        <v>4906.88</v>
      </c>
      <c r="D12" s="21" t="s">
        <v>290</v>
      </c>
      <c r="E12" s="21"/>
      <c r="F12" s="21"/>
      <c r="G12" s="21"/>
      <c r="H12" s="21"/>
      <c r="I12" s="21"/>
      <c r="J12" s="21"/>
      <c r="K12" s="21"/>
      <c r="L12" s="21"/>
      <c r="M12" s="21"/>
    </row>
    <row r="13" customFormat="false" ht="18" hidden="false" customHeight="true" outlineLevel="0" collapsed="false">
      <c r="A13" s="1"/>
      <c r="B13" s="74" t="s">
        <v>291</v>
      </c>
      <c r="C13" s="75" t="n">
        <f aca="false">SUM(C7:C12)</f>
        <v>618266.88</v>
      </c>
      <c r="D13" s="76"/>
      <c r="E13" s="76"/>
      <c r="F13" s="76"/>
      <c r="G13" s="76"/>
      <c r="H13" s="76"/>
      <c r="I13" s="76"/>
      <c r="J13" s="76"/>
      <c r="K13" s="76"/>
      <c r="L13" s="76"/>
      <c r="M13" s="76"/>
    </row>
    <row r="14" customFormat="false" ht="18" hidden="false" customHeight="true" outlineLevel="0" collapsed="false">
      <c r="A14" s="1"/>
      <c r="B14" s="19" t="s">
        <v>292</v>
      </c>
      <c r="C14" s="51" t="n">
        <f aca="false">Hypothèses!$C$9*Hypothèses!$C$88</f>
        <v>125000</v>
      </c>
      <c r="D14" s="21" t="s">
        <v>293</v>
      </c>
      <c r="E14" s="21"/>
      <c r="F14" s="21"/>
      <c r="G14" s="21"/>
      <c r="H14" s="21"/>
      <c r="I14" s="21"/>
      <c r="J14" s="21"/>
      <c r="K14" s="21"/>
      <c r="L14" s="21"/>
      <c r="M14" s="21"/>
    </row>
    <row r="15" customFormat="false" ht="18" hidden="false" customHeight="true" outlineLevel="0" collapsed="false">
      <c r="A15" s="1"/>
      <c r="B15" s="19" t="s">
        <v>294</v>
      </c>
      <c r="C15" s="73" t="n">
        <f aca="false">Hypothèses!$C$103</f>
        <v>10000</v>
      </c>
      <c r="D15" s="21"/>
      <c r="E15" s="21"/>
      <c r="F15" s="21"/>
      <c r="G15" s="21"/>
      <c r="H15" s="21"/>
      <c r="I15" s="21"/>
      <c r="J15" s="21"/>
      <c r="K15" s="21"/>
      <c r="L15" s="21"/>
      <c r="M15" s="21"/>
    </row>
    <row r="16" customFormat="false" ht="18" hidden="false" customHeight="true" outlineLevel="0" collapsed="false">
      <c r="A16" s="1"/>
      <c r="B16" s="19" t="s">
        <v>295</v>
      </c>
      <c r="C16" s="51" t="n">
        <f aca="false">Hypothèses!$C$102*(1-Hypothèses!$C$108)*(Financement!$C$14+Financement!$C$15)</f>
        <v>945</v>
      </c>
      <c r="D16" s="21"/>
      <c r="E16" s="21"/>
      <c r="F16" s="21"/>
      <c r="G16" s="21"/>
      <c r="H16" s="21"/>
      <c r="I16" s="21"/>
      <c r="J16" s="21"/>
      <c r="K16" s="21"/>
      <c r="L16" s="21"/>
      <c r="M16" s="21"/>
    </row>
    <row r="17" customFormat="false" ht="18" hidden="false" customHeight="true" outlineLevel="0" collapsed="false">
      <c r="A17" s="1"/>
      <c r="B17" s="74" t="s">
        <v>296</v>
      </c>
      <c r="C17" s="75" t="n">
        <f aca="false">SUM(C14:C16)</f>
        <v>135945</v>
      </c>
      <c r="D17" s="76"/>
      <c r="E17" s="76"/>
      <c r="F17" s="76"/>
      <c r="G17" s="76"/>
      <c r="H17" s="76"/>
      <c r="I17" s="76"/>
      <c r="J17" s="76"/>
      <c r="K17" s="76"/>
      <c r="L17" s="76"/>
      <c r="M17" s="76"/>
    </row>
    <row r="18" customFormat="false" ht="18" hidden="false" customHeight="true" outlineLevel="0" collapsed="false">
      <c r="A18" s="1"/>
      <c r="B18" s="74" t="s">
        <v>297</v>
      </c>
      <c r="C18" s="75" t="n">
        <f aca="false">Financement!$C$13+Financement!$C$17</f>
        <v>754211.88</v>
      </c>
      <c r="D18" s="76"/>
      <c r="E18" s="76"/>
      <c r="F18" s="76"/>
      <c r="G18" s="76"/>
      <c r="H18" s="76"/>
      <c r="I18" s="76"/>
      <c r="J18" s="76"/>
      <c r="K18" s="76"/>
      <c r="L18" s="76"/>
      <c r="M18" s="76"/>
    </row>
    <row r="19" customFormat="false" ht="18" hidden="false" customHeight="true" outlineLevel="0" collapsed="false">
      <c r="A19" s="1"/>
      <c r="B19" s="19" t="s">
        <v>298</v>
      </c>
      <c r="C19" s="51" t="n">
        <f aca="false">Financement!$C$18/Hypothèses!$C$9</f>
        <v>150842.376</v>
      </c>
      <c r="D19" s="21" t="s">
        <v>299</v>
      </c>
      <c r="E19" s="21"/>
      <c r="F19" s="21"/>
      <c r="G19" s="21"/>
      <c r="H19" s="21"/>
      <c r="I19" s="21"/>
      <c r="J19" s="21"/>
      <c r="K19" s="21"/>
      <c r="L19" s="21"/>
      <c r="M19" s="21"/>
    </row>
    <row r="20" customFormat="false" ht="15" hidden="false" customHeight="false" outlineLevel="0" collapsed="false">
      <c r="A20" s="1"/>
      <c r="B20" s="1"/>
      <c r="C20" s="1"/>
      <c r="D20" s="1"/>
      <c r="E20" s="1"/>
      <c r="F20" s="1"/>
      <c r="G20" s="1"/>
      <c r="H20" s="1"/>
      <c r="I20" s="1"/>
      <c r="J20" s="1"/>
      <c r="K20" s="1"/>
      <c r="L20" s="1"/>
      <c r="M20" s="1"/>
    </row>
    <row r="21" customFormat="false" ht="19.5" hidden="false" customHeight="true" outlineLevel="0" collapsed="false">
      <c r="A21" s="1"/>
      <c r="B21" s="14" t="s">
        <v>300</v>
      </c>
      <c r="C21" s="15"/>
      <c r="D21" s="15"/>
      <c r="E21" s="15"/>
      <c r="F21" s="15"/>
      <c r="G21" s="15"/>
      <c r="H21" s="15"/>
      <c r="I21" s="15"/>
      <c r="J21" s="15"/>
      <c r="K21" s="15"/>
      <c r="L21" s="15"/>
      <c r="M21" s="15"/>
    </row>
    <row r="22" customFormat="false" ht="18" hidden="false" customHeight="true" outlineLevel="0" collapsed="false">
      <c r="A22" s="1"/>
      <c r="B22" s="19" t="s">
        <v>301</v>
      </c>
      <c r="C22" s="51" t="n">
        <f aca="false">Financement!$C$7</f>
        <v>520000</v>
      </c>
      <c r="D22" s="21"/>
      <c r="E22" s="21"/>
      <c r="F22" s="21"/>
      <c r="G22" s="21"/>
      <c r="H22" s="21"/>
      <c r="I22" s="21"/>
      <c r="J22" s="21"/>
      <c r="K22" s="21"/>
      <c r="L22" s="21"/>
      <c r="M22" s="21"/>
    </row>
    <row r="23" customFormat="false" ht="18" hidden="false" customHeight="true" outlineLevel="0" collapsed="false">
      <c r="A23" s="1"/>
      <c r="B23" s="19" t="s">
        <v>302</v>
      </c>
      <c r="C23" s="51" t="n">
        <f aca="false">Financement!$C$8+Financement!$C$9+Financement!$C$10</f>
        <v>63360</v>
      </c>
      <c r="D23" s="21"/>
      <c r="E23" s="21"/>
      <c r="F23" s="21"/>
      <c r="G23" s="21"/>
      <c r="H23" s="21"/>
      <c r="I23" s="21"/>
      <c r="J23" s="21"/>
      <c r="K23" s="21"/>
      <c r="L23" s="21"/>
      <c r="M23" s="21"/>
    </row>
    <row r="24" customFormat="false" ht="18" hidden="false" customHeight="true" outlineLevel="0" collapsed="false">
      <c r="A24" s="1"/>
      <c r="B24" s="19" t="s">
        <v>303</v>
      </c>
      <c r="C24" s="49" t="n">
        <f aca="false">IF(Financement!$C$22=0,0,Financement!$C$23/Financement!$C$22)</f>
        <v>0.121846153846154</v>
      </c>
      <c r="D24" s="21"/>
      <c r="E24" s="21"/>
      <c r="F24" s="21"/>
      <c r="G24" s="21"/>
      <c r="H24" s="21"/>
      <c r="I24" s="21"/>
      <c r="J24" s="21"/>
      <c r="K24" s="21"/>
      <c r="L24" s="21"/>
      <c r="M24" s="21"/>
    </row>
    <row r="25" customFormat="false" ht="18" hidden="false" customHeight="true" outlineLevel="0" collapsed="false">
      <c r="A25" s="1"/>
      <c r="B25" s="19" t="s">
        <v>304</v>
      </c>
      <c r="C25" s="51" t="n">
        <f aca="false">Financement!$C$11+Financement!$C$14</f>
        <v>155000</v>
      </c>
      <c r="D25" s="21"/>
      <c r="E25" s="21"/>
      <c r="F25" s="21"/>
      <c r="G25" s="21"/>
      <c r="H25" s="21"/>
      <c r="I25" s="21"/>
      <c r="J25" s="21"/>
      <c r="K25" s="21"/>
      <c r="L25" s="21"/>
      <c r="M25" s="21"/>
    </row>
    <row r="26" customFormat="false" ht="18" hidden="false" customHeight="true" outlineLevel="0" collapsed="false">
      <c r="A26" s="1"/>
      <c r="B26" s="19" t="s">
        <v>294</v>
      </c>
      <c r="C26" s="51" t="n">
        <f aca="false">Financement!$C$15</f>
        <v>10000</v>
      </c>
      <c r="D26" s="21"/>
      <c r="E26" s="21"/>
      <c r="F26" s="21"/>
      <c r="G26" s="21"/>
      <c r="H26" s="21"/>
      <c r="I26" s="21"/>
      <c r="J26" s="21"/>
      <c r="K26" s="21"/>
      <c r="L26" s="21"/>
      <c r="M26" s="21"/>
    </row>
    <row r="27" customFormat="false" ht="18" hidden="false" customHeight="true" outlineLevel="0" collapsed="false">
      <c r="A27" s="1"/>
      <c r="B27" s="19" t="s">
        <v>305</v>
      </c>
      <c r="C27" s="51" t="n">
        <f aca="false">Financement!$C$12+Financement!$C$16</f>
        <v>5851.88</v>
      </c>
      <c r="D27" s="21"/>
      <c r="E27" s="21"/>
      <c r="F27" s="21"/>
      <c r="G27" s="21"/>
      <c r="H27" s="21"/>
      <c r="I27" s="21"/>
      <c r="J27" s="21"/>
      <c r="K27" s="21"/>
      <c r="L27" s="21"/>
      <c r="M27" s="21"/>
    </row>
    <row r="28" customFormat="false" ht="18" hidden="false" customHeight="true" outlineLevel="0" collapsed="false">
      <c r="A28" s="1"/>
      <c r="B28" s="74" t="s">
        <v>306</v>
      </c>
      <c r="C28" s="75" t="n">
        <f aca="false">SUM(C22:C23)+SUM(C25:C27)</f>
        <v>754211.88</v>
      </c>
      <c r="D28" s="76" t="s">
        <v>307</v>
      </c>
      <c r="E28" s="76"/>
      <c r="F28" s="76"/>
      <c r="G28" s="76"/>
      <c r="H28" s="76"/>
      <c r="I28" s="76"/>
      <c r="J28" s="76"/>
      <c r="K28" s="76"/>
      <c r="L28" s="76"/>
      <c r="M28" s="76"/>
    </row>
    <row r="29" customFormat="false" ht="15" hidden="false" customHeight="false" outlineLevel="0" collapsed="false">
      <c r="A29" s="1"/>
      <c r="B29" s="1"/>
      <c r="C29" s="1"/>
      <c r="D29" s="1"/>
      <c r="E29" s="1"/>
      <c r="F29" s="1"/>
      <c r="G29" s="1"/>
      <c r="H29" s="1"/>
      <c r="I29" s="1"/>
      <c r="J29" s="1"/>
      <c r="K29" s="1"/>
      <c r="L29" s="1"/>
      <c r="M29" s="1"/>
    </row>
    <row r="30" customFormat="false" ht="19.5" hidden="false" customHeight="true" outlineLevel="0" collapsed="false">
      <c r="A30" s="1"/>
      <c r="B30" s="14" t="s">
        <v>308</v>
      </c>
      <c r="C30" s="15"/>
      <c r="D30" s="15"/>
      <c r="E30" s="15"/>
      <c r="F30" s="15"/>
      <c r="G30" s="15"/>
      <c r="H30" s="15"/>
      <c r="I30" s="15"/>
      <c r="J30" s="15"/>
      <c r="K30" s="15"/>
      <c r="L30" s="15"/>
      <c r="M30" s="15"/>
    </row>
    <row r="31" customFormat="false" ht="18" hidden="false" customHeight="true" outlineLevel="0" collapsed="false">
      <c r="A31" s="1"/>
      <c r="B31" s="19" t="s">
        <v>309</v>
      </c>
      <c r="C31" s="51" t="n">
        <f aca="false">Hypothèses!$C$107*Financement!$C$13</f>
        <v>123653.376</v>
      </c>
      <c r="D31" s="21"/>
      <c r="E31" s="21"/>
      <c r="F31" s="21"/>
      <c r="G31" s="21"/>
      <c r="H31" s="21"/>
      <c r="I31" s="21"/>
      <c r="J31" s="21"/>
      <c r="K31" s="21"/>
      <c r="L31" s="21"/>
      <c r="M31" s="21"/>
    </row>
    <row r="32" customFormat="false" ht="18" hidden="false" customHeight="true" outlineLevel="0" collapsed="false">
      <c r="A32" s="1"/>
      <c r="B32" s="74" t="s">
        <v>310</v>
      </c>
      <c r="C32" s="75" t="n">
        <f aca="false">Financement!$C$13-Financement!$C$31</f>
        <v>494613.504</v>
      </c>
      <c r="D32" s="76"/>
      <c r="E32" s="76"/>
      <c r="F32" s="76"/>
      <c r="G32" s="76"/>
      <c r="H32" s="76"/>
      <c r="I32" s="76"/>
      <c r="J32" s="76"/>
      <c r="K32" s="76"/>
      <c r="L32" s="76"/>
      <c r="M32" s="76"/>
    </row>
    <row r="33" customFormat="false" ht="18" hidden="false" customHeight="true" outlineLevel="0" collapsed="false">
      <c r="A33" s="1"/>
      <c r="B33" s="19" t="s">
        <v>311</v>
      </c>
      <c r="C33" s="51" t="n">
        <f aca="false">Hypothèses!$C$108*Financement!$C$17</f>
        <v>40783.5</v>
      </c>
      <c r="D33" s="21"/>
      <c r="E33" s="21"/>
      <c r="F33" s="21"/>
      <c r="G33" s="21"/>
      <c r="H33" s="21"/>
      <c r="I33" s="21"/>
      <c r="J33" s="21"/>
      <c r="K33" s="21"/>
      <c r="L33" s="21"/>
      <c r="M33" s="21"/>
    </row>
    <row r="34" customFormat="false" ht="18" hidden="false" customHeight="true" outlineLevel="0" collapsed="false">
      <c r="A34" s="1"/>
      <c r="B34" s="74" t="s">
        <v>312</v>
      </c>
      <c r="C34" s="75" t="n">
        <f aca="false">Financement!$C$17-Financement!$C$33</f>
        <v>95161.5</v>
      </c>
      <c r="D34" s="76"/>
      <c r="E34" s="76"/>
      <c r="F34" s="76"/>
      <c r="G34" s="76"/>
      <c r="H34" s="76"/>
      <c r="I34" s="76"/>
      <c r="J34" s="76"/>
      <c r="K34" s="76"/>
      <c r="L34" s="76"/>
      <c r="M34" s="76"/>
    </row>
    <row r="35" customFormat="false" ht="18" hidden="false" customHeight="true" outlineLevel="0" collapsed="false">
      <c r="A35" s="1"/>
      <c r="B35" s="74" t="s">
        <v>313</v>
      </c>
      <c r="C35" s="75" t="n">
        <f aca="false">Financement!$C$31+Financement!$C$33</f>
        <v>164436.876</v>
      </c>
      <c r="D35" s="76"/>
      <c r="E35" s="76"/>
      <c r="F35" s="76"/>
      <c r="G35" s="76"/>
      <c r="H35" s="76"/>
      <c r="I35" s="76"/>
      <c r="J35" s="76"/>
      <c r="K35" s="76"/>
      <c r="L35" s="76"/>
      <c r="M35" s="76"/>
    </row>
    <row r="36" customFormat="false" ht="18" hidden="false" customHeight="true" outlineLevel="0" collapsed="false">
      <c r="A36" s="1"/>
      <c r="B36" s="74" t="s">
        <v>314</v>
      </c>
      <c r="C36" s="75" t="n">
        <f aca="false">Financement!$C$32+Financement!$C$34</f>
        <v>589775.004</v>
      </c>
      <c r="D36" s="76"/>
      <c r="E36" s="76"/>
      <c r="F36" s="76"/>
      <c r="G36" s="76"/>
      <c r="H36" s="76"/>
      <c r="I36" s="76"/>
      <c r="J36" s="76"/>
      <c r="K36" s="76"/>
      <c r="L36" s="76"/>
      <c r="M36" s="76"/>
    </row>
    <row r="37" customFormat="false" ht="18" hidden="false" customHeight="true" outlineLevel="0" collapsed="false">
      <c r="A37" s="1"/>
      <c r="B37" s="19" t="s">
        <v>315</v>
      </c>
      <c r="C37" s="49" t="n">
        <f aca="false">Financement!$C$35/Financement!$C$18</f>
        <v>0.218024775743389</v>
      </c>
      <c r="D37" s="21"/>
      <c r="E37" s="21"/>
      <c r="F37" s="21"/>
      <c r="G37" s="21"/>
      <c r="H37" s="21"/>
      <c r="I37" s="21"/>
      <c r="J37" s="21"/>
      <c r="K37" s="21"/>
      <c r="L37" s="21"/>
      <c r="M37" s="21"/>
    </row>
    <row r="38" customFormat="false" ht="15" hidden="false" customHeight="false" outlineLevel="0" collapsed="false">
      <c r="A38" s="1"/>
      <c r="B38" s="1"/>
      <c r="C38" s="1"/>
      <c r="D38" s="1"/>
      <c r="E38" s="1"/>
      <c r="F38" s="1"/>
      <c r="G38" s="1"/>
      <c r="H38" s="1"/>
      <c r="I38" s="1"/>
      <c r="J38" s="1"/>
      <c r="K38" s="1"/>
      <c r="L38" s="1"/>
      <c r="M38" s="1"/>
    </row>
    <row r="39" customFormat="false" ht="19.5" hidden="false" customHeight="true" outlineLevel="0" collapsed="false">
      <c r="A39" s="1"/>
      <c r="B39" s="14" t="s">
        <v>316</v>
      </c>
      <c r="C39" s="15"/>
      <c r="D39" s="15"/>
      <c r="E39" s="15"/>
      <c r="F39" s="15"/>
      <c r="G39" s="15"/>
      <c r="H39" s="15"/>
      <c r="I39" s="15"/>
      <c r="J39" s="15"/>
      <c r="K39" s="15"/>
      <c r="L39" s="15"/>
      <c r="M39" s="15"/>
    </row>
    <row r="40" customFormat="false" ht="18" hidden="false" customHeight="true" outlineLevel="0" collapsed="false">
      <c r="A40" s="1"/>
      <c r="B40" s="19" t="s">
        <v>317</v>
      </c>
      <c r="C40" s="57" t="n">
        <f aca="false">Hypothèses!$C$109+Hypothèses!$C$110</f>
        <v>0.0362</v>
      </c>
      <c r="D40" s="21" t="s">
        <v>318</v>
      </c>
      <c r="E40" s="21"/>
      <c r="F40" s="21"/>
      <c r="G40" s="21"/>
      <c r="H40" s="21"/>
      <c r="I40" s="21"/>
      <c r="J40" s="21"/>
      <c r="K40" s="21"/>
      <c r="L40" s="21"/>
      <c r="M40" s="21"/>
    </row>
    <row r="41" customFormat="false" ht="18" hidden="false" customHeight="true" outlineLevel="0" collapsed="false">
      <c r="A41" s="1"/>
      <c r="B41" s="19" t="s">
        <v>319</v>
      </c>
      <c r="C41" s="77" t="n">
        <f aca="false">Hypothèses!$C$113</f>
        <v>20</v>
      </c>
      <c r="D41" s="21"/>
      <c r="E41" s="21"/>
      <c r="F41" s="21"/>
      <c r="G41" s="21"/>
      <c r="H41" s="21"/>
      <c r="I41" s="21"/>
      <c r="J41" s="21"/>
      <c r="K41" s="21"/>
      <c r="L41" s="21"/>
      <c r="M41" s="21"/>
    </row>
    <row r="42" customFormat="false" ht="18" hidden="false" customHeight="true" outlineLevel="0" collapsed="false">
      <c r="A42" s="1"/>
      <c r="B42" s="19" t="s">
        <v>320</v>
      </c>
      <c r="C42" s="51" t="n">
        <f aca="false">PMT(Financement!$C$40/12,Financement!$C$41*12,-Financement!$C$32)</f>
        <v>2899.15217994137</v>
      </c>
      <c r="D42" s="21" t="s">
        <v>321</v>
      </c>
      <c r="E42" s="21"/>
      <c r="F42" s="21"/>
      <c r="G42" s="21"/>
      <c r="H42" s="21"/>
      <c r="I42" s="21"/>
      <c r="J42" s="21"/>
      <c r="K42" s="21"/>
      <c r="L42" s="21"/>
      <c r="M42" s="21"/>
    </row>
    <row r="43" customFormat="false" ht="18" hidden="false" customHeight="true" outlineLevel="0" collapsed="false">
      <c r="A43" s="1"/>
      <c r="B43" s="74" t="s">
        <v>322</v>
      </c>
      <c r="C43" s="75" t="n">
        <f aca="false">Financement!$C$42*12</f>
        <v>34789.8261592964</v>
      </c>
      <c r="D43" s="76"/>
      <c r="E43" s="76"/>
      <c r="F43" s="76"/>
      <c r="G43" s="76"/>
      <c r="H43" s="76"/>
      <c r="I43" s="76"/>
      <c r="J43" s="76"/>
      <c r="K43" s="76"/>
      <c r="L43" s="76"/>
      <c r="M43" s="76"/>
    </row>
    <row r="44" customFormat="false" ht="18" hidden="false" customHeight="true" outlineLevel="0" collapsed="false">
      <c r="A44" s="1"/>
      <c r="B44" s="19" t="s">
        <v>323</v>
      </c>
      <c r="C44" s="51" t="n">
        <f aca="false">Financement!$C$43*Financement!$C$41-Financement!$C$32</f>
        <v>201183.019185929</v>
      </c>
      <c r="D44" s="21"/>
      <c r="E44" s="21"/>
      <c r="F44" s="21"/>
      <c r="G44" s="21"/>
      <c r="H44" s="21"/>
      <c r="I44" s="21"/>
      <c r="J44" s="21"/>
      <c r="K44" s="21"/>
      <c r="L44" s="21"/>
      <c r="M44" s="21"/>
    </row>
    <row r="45" customFormat="false" ht="18" hidden="false" customHeight="true" outlineLevel="0" collapsed="false">
      <c r="A45" s="1"/>
      <c r="B45" s="19" t="s">
        <v>324</v>
      </c>
      <c r="C45" s="57" t="n">
        <f aca="false">Hypothèses!$C$111+Hypothèses!$C$112</f>
        <v>0.0421</v>
      </c>
      <c r="D45" s="21" t="s">
        <v>318</v>
      </c>
      <c r="E45" s="21"/>
      <c r="F45" s="21"/>
      <c r="G45" s="21"/>
      <c r="H45" s="21"/>
      <c r="I45" s="21"/>
      <c r="J45" s="21"/>
      <c r="K45" s="21"/>
      <c r="L45" s="21"/>
      <c r="M45" s="21"/>
    </row>
    <row r="46" customFormat="false" ht="18" hidden="false" customHeight="true" outlineLevel="0" collapsed="false">
      <c r="A46" s="1"/>
      <c r="B46" s="19" t="s">
        <v>325</v>
      </c>
      <c r="C46" s="77" t="n">
        <f aca="false">Hypothèses!$C$114</f>
        <v>7</v>
      </c>
      <c r="D46" s="21"/>
      <c r="E46" s="21"/>
      <c r="F46" s="21"/>
      <c r="G46" s="21"/>
      <c r="H46" s="21"/>
      <c r="I46" s="21"/>
      <c r="J46" s="21"/>
      <c r="K46" s="21"/>
      <c r="L46" s="21"/>
      <c r="M46" s="21"/>
    </row>
    <row r="47" customFormat="false" ht="18" hidden="false" customHeight="true" outlineLevel="0" collapsed="false">
      <c r="A47" s="1"/>
      <c r="B47" s="19" t="s">
        <v>326</v>
      </c>
      <c r="C47" s="51" t="n">
        <f aca="false">PMT(Financement!$C$45/12,Financement!$C$46*12,-Financement!$C$34)</f>
        <v>1309.9630951648</v>
      </c>
      <c r="D47" s="21" t="s">
        <v>321</v>
      </c>
      <c r="E47" s="21"/>
      <c r="F47" s="21"/>
      <c r="G47" s="21"/>
      <c r="H47" s="21"/>
      <c r="I47" s="21"/>
      <c r="J47" s="21"/>
      <c r="K47" s="21"/>
      <c r="L47" s="21"/>
      <c r="M47" s="21"/>
    </row>
    <row r="48" customFormat="false" ht="18" hidden="false" customHeight="true" outlineLevel="0" collapsed="false">
      <c r="A48" s="1"/>
      <c r="B48" s="74" t="s">
        <v>327</v>
      </c>
      <c r="C48" s="75" t="n">
        <f aca="false">Financement!$C$47*12</f>
        <v>15719.5571419776</v>
      </c>
      <c r="D48" s="76"/>
      <c r="E48" s="76"/>
      <c r="F48" s="76"/>
      <c r="G48" s="76"/>
      <c r="H48" s="76"/>
      <c r="I48" s="76"/>
      <c r="J48" s="76"/>
      <c r="K48" s="76"/>
      <c r="L48" s="76"/>
      <c r="M48" s="76"/>
    </row>
    <row r="49" customFormat="false" ht="18" hidden="false" customHeight="true" outlineLevel="0" collapsed="false">
      <c r="A49" s="1"/>
      <c r="B49" s="19" t="s">
        <v>328</v>
      </c>
      <c r="C49" s="51" t="n">
        <f aca="false">Financement!$C$48*Financement!$C$46-Financement!$C$34</f>
        <v>14875.3999938431</v>
      </c>
      <c r="D49" s="21"/>
      <c r="E49" s="21"/>
      <c r="F49" s="21"/>
      <c r="G49" s="21"/>
      <c r="H49" s="21"/>
      <c r="I49" s="21"/>
      <c r="J49" s="21"/>
      <c r="K49" s="21"/>
      <c r="L49" s="21"/>
      <c r="M49" s="21"/>
    </row>
    <row r="50" customFormat="false" ht="15" hidden="false" customHeight="false" outlineLevel="0" collapsed="false">
      <c r="A50" s="1"/>
      <c r="B50" s="1"/>
      <c r="C50" s="1"/>
      <c r="D50" s="1"/>
      <c r="E50" s="1"/>
      <c r="F50" s="1"/>
      <c r="G50" s="1"/>
      <c r="H50" s="1"/>
      <c r="I50" s="1"/>
      <c r="J50" s="1"/>
      <c r="K50" s="1"/>
      <c r="L50" s="1"/>
      <c r="M50" s="1"/>
    </row>
    <row r="51" customFormat="false" ht="19.5" hidden="false" customHeight="true" outlineLevel="0" collapsed="false">
      <c r="A51" s="1"/>
      <c r="B51" s="14" t="s">
        <v>329</v>
      </c>
      <c r="C51" s="15"/>
      <c r="D51" s="15"/>
      <c r="E51" s="15"/>
      <c r="F51" s="15"/>
      <c r="G51" s="15"/>
      <c r="H51" s="15"/>
      <c r="I51" s="15"/>
      <c r="J51" s="15"/>
      <c r="K51" s="15"/>
      <c r="L51" s="15"/>
      <c r="M51" s="15"/>
    </row>
    <row r="52" customFormat="false" ht="25.5" hidden="false" customHeight="true" outlineLevel="0" collapsed="false">
      <c r="A52" s="1"/>
      <c r="B52" s="16"/>
      <c r="C52" s="17"/>
      <c r="D52" s="17" t="s">
        <v>218</v>
      </c>
      <c r="E52" s="17" t="s">
        <v>219</v>
      </c>
      <c r="F52" s="17" t="s">
        <v>220</v>
      </c>
      <c r="G52" s="17" t="s">
        <v>221</v>
      </c>
      <c r="H52" s="17" t="s">
        <v>222</v>
      </c>
      <c r="I52" s="17" t="s">
        <v>223</v>
      </c>
      <c r="J52" s="17" t="s">
        <v>224</v>
      </c>
      <c r="K52" s="17" t="s">
        <v>225</v>
      </c>
      <c r="L52" s="17" t="s">
        <v>226</v>
      </c>
      <c r="M52" s="17" t="s">
        <v>227</v>
      </c>
    </row>
    <row r="53" customFormat="false" ht="15" hidden="false" customHeight="false" outlineLevel="0" collapsed="false">
      <c r="A53" s="1"/>
      <c r="B53" s="46" t="s">
        <v>228</v>
      </c>
      <c r="C53" s="1"/>
      <c r="D53" s="78" t="n">
        <v>1</v>
      </c>
      <c r="E53" s="78" t="n">
        <v>2</v>
      </c>
      <c r="F53" s="78" t="n">
        <v>3</v>
      </c>
      <c r="G53" s="78" t="n">
        <v>4</v>
      </c>
      <c r="H53" s="78" t="n">
        <v>5</v>
      </c>
      <c r="I53" s="78" t="n">
        <v>6</v>
      </c>
      <c r="J53" s="78" t="n">
        <v>7</v>
      </c>
      <c r="K53" s="78" t="n">
        <v>8</v>
      </c>
      <c r="L53" s="78" t="n">
        <v>9</v>
      </c>
      <c r="M53" s="78" t="n">
        <v>10</v>
      </c>
    </row>
    <row r="54" customFormat="false" ht="15" hidden="false" customHeight="false" outlineLevel="0" collapsed="false">
      <c r="A54" s="1"/>
      <c r="B54" s="79" t="s">
        <v>322</v>
      </c>
      <c r="C54" s="29"/>
      <c r="D54" s="80" t="n">
        <f aca="false">IF(D$53&lt;=Financement!$C$41,Financement!$C$43,0)</f>
        <v>34789.8261592964</v>
      </c>
      <c r="E54" s="80" t="n">
        <f aca="false">IF(E$53&lt;=Financement!$C$41,Financement!$C$43,0)</f>
        <v>34789.8261592964</v>
      </c>
      <c r="F54" s="80" t="n">
        <f aca="false">IF(F$53&lt;=Financement!$C$41,Financement!$C$43,0)</f>
        <v>34789.8261592964</v>
      </c>
      <c r="G54" s="80" t="n">
        <f aca="false">IF(G$53&lt;=Financement!$C$41,Financement!$C$43,0)</f>
        <v>34789.8261592964</v>
      </c>
      <c r="H54" s="80" t="n">
        <f aca="false">IF(H$53&lt;=Financement!$C$41,Financement!$C$43,0)</f>
        <v>34789.8261592964</v>
      </c>
      <c r="I54" s="80" t="n">
        <f aca="false">IF(I$53&lt;=Financement!$C$41,Financement!$C$43,0)</f>
        <v>34789.8261592964</v>
      </c>
      <c r="J54" s="80" t="n">
        <f aca="false">IF(J$53&lt;=Financement!$C$41,Financement!$C$43,0)</f>
        <v>34789.8261592964</v>
      </c>
      <c r="K54" s="80" t="n">
        <f aca="false">IF(K$53&lt;=Financement!$C$41,Financement!$C$43,0)</f>
        <v>34789.8261592964</v>
      </c>
      <c r="L54" s="80" t="n">
        <f aca="false">IF(L$53&lt;=Financement!$C$41,Financement!$C$43,0)</f>
        <v>34789.8261592964</v>
      </c>
      <c r="M54" s="80" t="n">
        <f aca="false">IF(M$53&lt;=Financement!$C$41,Financement!$C$43,0)</f>
        <v>34789.8261592964</v>
      </c>
    </row>
    <row r="55" customFormat="false" ht="15" hidden="false" customHeight="false" outlineLevel="0" collapsed="false">
      <c r="A55" s="1"/>
      <c r="B55" s="29" t="s">
        <v>330</v>
      </c>
      <c r="C55" s="29"/>
      <c r="D55" s="80" t="n">
        <f aca="false">IF(OR(D$53&gt;Financement!$C$41,Financement!$C$32&lt;=0),0,-CUMIPMT(Financement!$C$40/12,Financement!$C$41*12,Financement!$C$32,(D$53-1)*12+1,D$53*12,0))</f>
        <v>17622.0253345988</v>
      </c>
      <c r="E55" s="80" t="n">
        <f aca="false">IF(OR(E$53&gt;Financement!$C$41,Financement!$C$32&lt;=0),0,-CUMIPMT(Financement!$C$40/12,Financement!$C$41*12,Financement!$C$32,(E$53-1)*12+1,E$53*12,0))</f>
        <v>16990.1352558412</v>
      </c>
      <c r="F55" s="80" t="n">
        <f aca="false">IF(OR(F$53&gt;Financement!$C$41,Financement!$C$32&lt;=0),0,-CUMIPMT(Financement!$C$40/12,Financement!$C$41*12,Financement!$C$32,(F$53-1)*12+1,F$53*12,0))</f>
        <v>16334.9873891054</v>
      </c>
      <c r="G55" s="80" t="n">
        <f aca="false">IF(OR(G$53&gt;Financement!$C$41,Financement!$C$32&lt;=0),0,-CUMIPMT(Financement!$C$40/12,Financement!$C$41*12,Financement!$C$32,(G$53-1)*12+1,G$53*12,0))</f>
        <v>15655.7256919881</v>
      </c>
      <c r="H55" s="80" t="n">
        <f aca="false">IF(OR(H$53&gt;Financement!$C$41,Financement!$C$32&lt;=0),0,-CUMIPMT(Financement!$C$40/12,Financement!$C$41*12,Financement!$C$32,(H$53-1)*12+1,H$53*12,0))</f>
        <v>14951.462613991</v>
      </c>
      <c r="I55" s="80" t="n">
        <f aca="false">IF(OR(I$53&gt;Financement!$C$41,Financement!$C$32&lt;=0),0,-CUMIPMT(Financement!$C$40/12,Financement!$C$41*12,Financement!$C$32,(I$53-1)*12+1,I$53*12,0))</f>
        <v>14221.2779368114</v>
      </c>
      <c r="J55" s="80" t="n">
        <f aca="false">IF(OR(J$53&gt;Financement!$C$41,Financement!$C$32&lt;=0),0,-CUMIPMT(Financement!$C$40/12,Financement!$C$41*12,Financement!$C$32,(J$53-1)*12+1,J$53*12,0))</f>
        <v>13464.2175719487</v>
      </c>
      <c r="K55" s="80" t="n">
        <f aca="false">IF(OR(K$53&gt;Financement!$C$41,Financement!$C$32&lt;=0),0,-CUMIPMT(Financement!$C$40/12,Financement!$C$41*12,Financement!$C$32,(K$53-1)*12+1,K$53*12,0))</f>
        <v>12679.2923140539</v>
      </c>
      <c r="L55" s="80" t="n">
        <f aca="false">IF(OR(L$53&gt;Financement!$C$41,Financement!$C$32&lt;=0),0,-CUMIPMT(Financement!$C$40/12,Financement!$C$41*12,Financement!$C$32,(L$53-1)*12+1,L$53*12,0))</f>
        <v>11865.4765483943</v>
      </c>
      <c r="M55" s="80" t="n">
        <f aca="false">IF(OR(M$53&gt;Financement!$C$41,Financement!$C$32&lt;=0),0,-CUMIPMT(Financement!$C$40/12,Financement!$C$41*12,Financement!$C$32,(M$53-1)*12+1,M$53*12,0))</f>
        <v>11021.7069107445</v>
      </c>
    </row>
    <row r="56" customFormat="false" ht="15" hidden="false" customHeight="false" outlineLevel="0" collapsed="false">
      <c r="A56" s="1"/>
      <c r="B56" s="29" t="s">
        <v>331</v>
      </c>
      <c r="C56" s="29"/>
      <c r="D56" s="80" t="n">
        <f aca="false">D54-D55</f>
        <v>17167.8008246977</v>
      </c>
      <c r="E56" s="80" t="n">
        <f aca="false">E54-E55</f>
        <v>17799.6909034553</v>
      </c>
      <c r="F56" s="80" t="n">
        <f aca="false">F54-F55</f>
        <v>18454.838770191</v>
      </c>
      <c r="G56" s="80" t="n">
        <f aca="false">G54-G55</f>
        <v>19134.1004673083</v>
      </c>
      <c r="H56" s="80" t="n">
        <f aca="false">H54-H55</f>
        <v>19838.3635453054</v>
      </c>
      <c r="I56" s="80" t="n">
        <f aca="false">I54-I55</f>
        <v>20568.548222485</v>
      </c>
      <c r="J56" s="80" t="n">
        <f aca="false">J54-J55</f>
        <v>21325.6085873477</v>
      </c>
      <c r="K56" s="80" t="n">
        <f aca="false">K54-K55</f>
        <v>22110.5338452425</v>
      </c>
      <c r="L56" s="80" t="n">
        <f aca="false">L54-L55</f>
        <v>22924.3496109021</v>
      </c>
      <c r="M56" s="80" t="n">
        <f aca="false">M54-M55</f>
        <v>23768.119248552</v>
      </c>
    </row>
    <row r="57" customFormat="false" ht="15" hidden="false" customHeight="false" outlineLevel="0" collapsed="false">
      <c r="A57" s="1"/>
      <c r="B57" s="29" t="s">
        <v>332</v>
      </c>
      <c r="C57" s="29"/>
      <c r="D57" s="80" t="n">
        <f aca="false">MAX(0,Financement!$C$32-SUM($D56:D56))</f>
        <v>477445.703175302</v>
      </c>
      <c r="E57" s="80" t="n">
        <f aca="false">MAX(0,Financement!$C$32-SUM($D56:E56))</f>
        <v>459646.012271847</v>
      </c>
      <c r="F57" s="80" t="n">
        <f aca="false">MAX(0,Financement!$C$32-SUM($D56:F56))</f>
        <v>441191.173501656</v>
      </c>
      <c r="G57" s="80" t="n">
        <f aca="false">MAX(0,Financement!$C$32-SUM($D56:G56))</f>
        <v>422057.073034348</v>
      </c>
      <c r="H57" s="80" t="n">
        <f aca="false">MAX(0,Financement!$C$32-SUM($D56:H56))</f>
        <v>402218.709489042</v>
      </c>
      <c r="I57" s="80" t="n">
        <f aca="false">MAX(0,Financement!$C$32-SUM($D56:I56))</f>
        <v>381650.161266557</v>
      </c>
      <c r="J57" s="80" t="n">
        <f aca="false">MAX(0,Financement!$C$32-SUM($D56:J56))</f>
        <v>360324.55267921</v>
      </c>
      <c r="K57" s="80" t="n">
        <f aca="false">MAX(0,Financement!$C$32-SUM($D56:K56))</f>
        <v>338214.018833967</v>
      </c>
      <c r="L57" s="80" t="n">
        <f aca="false">MAX(0,Financement!$C$32-SUM($D56:L56))</f>
        <v>315289.669223065</v>
      </c>
      <c r="M57" s="80" t="n">
        <f aca="false">MAX(0,Financement!$C$32-SUM($D56:M56))</f>
        <v>291521.549974513</v>
      </c>
    </row>
    <row r="58" customFormat="false" ht="15" hidden="false" customHeight="false" outlineLevel="0" collapsed="false">
      <c r="A58" s="1"/>
      <c r="B58" s="79" t="s">
        <v>327</v>
      </c>
      <c r="C58" s="29"/>
      <c r="D58" s="80" t="n">
        <f aca="false">IF(D$53&lt;=Financement!$C$46,Financement!$C$48,0)</f>
        <v>15719.5571419776</v>
      </c>
      <c r="E58" s="80" t="n">
        <f aca="false">IF(E$53&lt;=Financement!$C$46,Financement!$C$48,0)</f>
        <v>15719.5571419776</v>
      </c>
      <c r="F58" s="80" t="n">
        <f aca="false">IF(F$53&lt;=Financement!$C$46,Financement!$C$48,0)</f>
        <v>15719.5571419776</v>
      </c>
      <c r="G58" s="80" t="n">
        <f aca="false">IF(G$53&lt;=Financement!$C$46,Financement!$C$48,0)</f>
        <v>15719.5571419776</v>
      </c>
      <c r="H58" s="80" t="n">
        <f aca="false">IF(H$53&lt;=Financement!$C$46,Financement!$C$48,0)</f>
        <v>15719.5571419776</v>
      </c>
      <c r="I58" s="80" t="n">
        <f aca="false">IF(I$53&lt;=Financement!$C$46,Financement!$C$48,0)</f>
        <v>15719.5571419776</v>
      </c>
      <c r="J58" s="80" t="n">
        <f aca="false">IF(J$53&lt;=Financement!$C$46,Financement!$C$48,0)</f>
        <v>15719.5571419776</v>
      </c>
      <c r="K58" s="80" t="n">
        <f aca="false">IF(K$53&lt;=Financement!$C$46,Financement!$C$48,0)</f>
        <v>0</v>
      </c>
      <c r="L58" s="80" t="n">
        <f aca="false">IF(L$53&lt;=Financement!$C$46,Financement!$C$48,0)</f>
        <v>0</v>
      </c>
      <c r="M58" s="80" t="n">
        <f aca="false">IF(M$53&lt;=Financement!$C$46,Financement!$C$48,0)</f>
        <v>0</v>
      </c>
    </row>
    <row r="59" customFormat="false" ht="15" hidden="false" customHeight="false" outlineLevel="0" collapsed="false">
      <c r="A59" s="1"/>
      <c r="B59" s="29" t="s">
        <v>333</v>
      </c>
      <c r="C59" s="29"/>
      <c r="D59" s="80" t="n">
        <f aca="false">IF(OR(D$53&gt;Financement!$C$46,Financement!$C$34&lt;=0),0,-CUMIPMT(Financement!$C$45/12,Financement!$C$46*12,Financement!$C$34,(D$53-1)*12+1,D$53*12,0))</f>
        <v>3777.61794996299</v>
      </c>
      <c r="E59" s="80" t="n">
        <f aca="false">IF(OR(E$53&gt;Financement!$C$46,Financement!$C$34&lt;=0),0,-CUMIPMT(Financement!$C$45/12,Financement!$C$46*12,Financement!$C$34,(E$53-1)*12+1,E$53*12,0))</f>
        <v>3265.04687151146</v>
      </c>
      <c r="F59" s="80" t="n">
        <f aca="false">IF(OR(F$53&gt;Financement!$C$46,Financement!$C$34&lt;=0),0,-CUMIPMT(Financement!$C$45/12,Financement!$C$46*12,Financement!$C$34,(F$53-1)*12+1,F$53*12,0))</f>
        <v>2730.47525309398</v>
      </c>
      <c r="G59" s="80" t="n">
        <f aca="false">IF(OR(G$53&gt;Financement!$C$46,Financement!$C$34&lt;=0),0,-CUMIPMT(Financement!$C$45/12,Financement!$C$46*12,Financement!$C$34,(G$53-1)*12+1,G$53*12,0))</f>
        <v>2172.95878907344</v>
      </c>
      <c r="H59" s="80" t="n">
        <f aca="false">IF(OR(H$53&gt;Financement!$C$46,Financement!$C$34&lt;=0),0,-CUMIPMT(Financement!$C$45/12,Financement!$C$46*12,Financement!$C$34,(H$53-1)*12+1,H$53*12,0))</f>
        <v>1591.51264239227</v>
      </c>
      <c r="I59" s="80" t="n">
        <f aca="false">IF(OR(I$53&gt;Financement!$C$46,Financement!$C$34&lt;=0),0,-CUMIPMT(Financement!$C$45/12,Financement!$C$46*12,Financement!$C$34,(I$53-1)*12+1,I$53*12,0))</f>
        <v>985.109704885605</v>
      </c>
      <c r="J59" s="80" t="n">
        <f aca="false">IF(OR(J$53&gt;Financement!$C$46,Financement!$C$34&lt;=0),0,-CUMIPMT(Financement!$C$45/12,Financement!$C$46*12,Financement!$C$34,(J$53-1)*12+1,J$53*12,0))</f>
        <v>352.678782923804</v>
      </c>
      <c r="K59" s="80" t="n">
        <f aca="false">IF(OR(K$53&gt;Financement!$C$46,Financement!$C$34&lt;=0),0,-CUMIPMT(Financement!$C$45/12,Financement!$C$46*12,Financement!$C$34,(K$53-1)*12+1,K$53*12,0))</f>
        <v>0</v>
      </c>
      <c r="L59" s="80" t="n">
        <f aca="false">IF(OR(L$53&gt;Financement!$C$46,Financement!$C$34&lt;=0),0,-CUMIPMT(Financement!$C$45/12,Financement!$C$46*12,Financement!$C$34,(L$53-1)*12+1,L$53*12,0))</f>
        <v>0</v>
      </c>
      <c r="M59" s="80" t="n">
        <f aca="false">IF(OR(M$53&gt;Financement!$C$46,Financement!$C$34&lt;=0),0,-CUMIPMT(Financement!$C$45/12,Financement!$C$46*12,Financement!$C$34,(M$53-1)*12+1,M$53*12,0))</f>
        <v>0</v>
      </c>
    </row>
    <row r="60" customFormat="false" ht="15" hidden="false" customHeight="false" outlineLevel="0" collapsed="false">
      <c r="A60" s="1"/>
      <c r="B60" s="29" t="s">
        <v>334</v>
      </c>
      <c r="C60" s="29"/>
      <c r="D60" s="80" t="n">
        <f aca="false">D58-D59</f>
        <v>11941.9391920146</v>
      </c>
      <c r="E60" s="80" t="n">
        <f aca="false">E58-E59</f>
        <v>12454.5102704661</v>
      </c>
      <c r="F60" s="80" t="n">
        <f aca="false">F58-F59</f>
        <v>12989.0818888836</v>
      </c>
      <c r="G60" s="80" t="n">
        <f aca="false">G58-G59</f>
        <v>13546.5983529041</v>
      </c>
      <c r="H60" s="80" t="n">
        <f aca="false">H58-H59</f>
        <v>14128.0444995853</v>
      </c>
      <c r="I60" s="80" t="n">
        <f aca="false">I58-I59</f>
        <v>14734.447437092</v>
      </c>
      <c r="J60" s="80" t="n">
        <f aca="false">J58-J59</f>
        <v>15366.8783590538</v>
      </c>
      <c r="K60" s="80" t="n">
        <f aca="false">K58-K59</f>
        <v>0</v>
      </c>
      <c r="L60" s="80" t="n">
        <f aca="false">L58-L59</f>
        <v>0</v>
      </c>
      <c r="M60" s="80" t="n">
        <f aca="false">M58-M59</f>
        <v>0</v>
      </c>
    </row>
    <row r="61" customFormat="false" ht="15" hidden="false" customHeight="false" outlineLevel="0" collapsed="false">
      <c r="A61" s="1"/>
      <c r="B61" s="29" t="s">
        <v>335</v>
      </c>
      <c r="C61" s="29"/>
      <c r="D61" s="80" t="n">
        <f aca="false">MAX(0,Financement!$C$34-SUM($D60:D60))</f>
        <v>83219.5608079854</v>
      </c>
      <c r="E61" s="80" t="n">
        <f aca="false">MAX(0,Financement!$C$34-SUM($D60:E60))</f>
        <v>70765.0505375193</v>
      </c>
      <c r="F61" s="80" t="n">
        <f aca="false">MAX(0,Financement!$C$34-SUM($D60:F60))</f>
        <v>57775.9686486357</v>
      </c>
      <c r="G61" s="80" t="n">
        <f aca="false">MAX(0,Financement!$C$34-SUM($D60:G60))</f>
        <v>44229.3702957315</v>
      </c>
      <c r="H61" s="80" t="n">
        <f aca="false">MAX(0,Financement!$C$34-SUM($D60:H60))</f>
        <v>30101.3257961462</v>
      </c>
      <c r="I61" s="80" t="n">
        <f aca="false">MAX(0,Financement!$C$34-SUM($D60:I60))</f>
        <v>15366.8783590542</v>
      </c>
      <c r="J61" s="80" t="n">
        <f aca="false">MAX(0,Financement!$C$34-SUM($D60:J60))</f>
        <v>4.36557456851006E-010</v>
      </c>
      <c r="K61" s="80" t="n">
        <f aca="false">MAX(0,Financement!$C$34-SUM($D60:K60))</f>
        <v>4.36557456851006E-010</v>
      </c>
      <c r="L61" s="80" t="n">
        <f aca="false">MAX(0,Financement!$C$34-SUM($D60:L60))</f>
        <v>4.36557456851006E-010</v>
      </c>
      <c r="M61" s="80" t="n">
        <f aca="false">MAX(0,Financement!$C$34-SUM($D60:M60))</f>
        <v>4.36557456851006E-010</v>
      </c>
    </row>
    <row r="62" customFormat="false" ht="15" hidden="false" customHeight="false" outlineLevel="0" collapsed="false">
      <c r="A62" s="1"/>
      <c r="B62" s="39" t="s">
        <v>336</v>
      </c>
      <c r="C62" s="81"/>
      <c r="D62" s="82" t="n">
        <f aca="false">D54+D58</f>
        <v>50509.383301274</v>
      </c>
      <c r="E62" s="82" t="n">
        <f aca="false">E54+E58</f>
        <v>50509.383301274</v>
      </c>
      <c r="F62" s="82" t="n">
        <f aca="false">F54+F58</f>
        <v>50509.383301274</v>
      </c>
      <c r="G62" s="82" t="n">
        <f aca="false">G54+G58</f>
        <v>50509.383301274</v>
      </c>
      <c r="H62" s="82" t="n">
        <f aca="false">H54+H58</f>
        <v>50509.383301274</v>
      </c>
      <c r="I62" s="82" t="n">
        <f aca="false">I54+I58</f>
        <v>50509.383301274</v>
      </c>
      <c r="J62" s="82" t="n">
        <f aca="false">J54+J58</f>
        <v>50509.383301274</v>
      </c>
      <c r="K62" s="82" t="n">
        <f aca="false">K54+K58</f>
        <v>34789.8261592964</v>
      </c>
      <c r="L62" s="82" t="n">
        <f aca="false">L54+L58</f>
        <v>34789.8261592964</v>
      </c>
      <c r="M62" s="82" t="n">
        <f aca="false">M54+M58</f>
        <v>34789.8261592964</v>
      </c>
    </row>
  </sheetData>
  <mergeCells count="38">
    <mergeCell ref="D6:M6"/>
    <mergeCell ref="D7:M7"/>
    <mergeCell ref="D8:M8"/>
    <mergeCell ref="D9:M9"/>
    <mergeCell ref="D10:M10"/>
    <mergeCell ref="D11:M11"/>
    <mergeCell ref="D12:M12"/>
    <mergeCell ref="D13:M13"/>
    <mergeCell ref="D14:M14"/>
    <mergeCell ref="D15:M15"/>
    <mergeCell ref="D16:M16"/>
    <mergeCell ref="D17:M17"/>
    <mergeCell ref="D18:M18"/>
    <mergeCell ref="D19:M19"/>
    <mergeCell ref="D22:M22"/>
    <mergeCell ref="D23:M23"/>
    <mergeCell ref="D24:M24"/>
    <mergeCell ref="D25:M25"/>
    <mergeCell ref="D26:M26"/>
    <mergeCell ref="D27:M27"/>
    <mergeCell ref="D28:M28"/>
    <mergeCell ref="D31:M31"/>
    <mergeCell ref="D32:M32"/>
    <mergeCell ref="D33:M33"/>
    <mergeCell ref="D34:M34"/>
    <mergeCell ref="D35:M35"/>
    <mergeCell ref="D36:M36"/>
    <mergeCell ref="D37:M37"/>
    <mergeCell ref="D40:M40"/>
    <mergeCell ref="D41:M41"/>
    <mergeCell ref="D42:M42"/>
    <mergeCell ref="D43:M43"/>
    <mergeCell ref="D44:M44"/>
    <mergeCell ref="D45:M45"/>
    <mergeCell ref="D46:M46"/>
    <mergeCell ref="D47:M47"/>
    <mergeCell ref="D48:M48"/>
    <mergeCell ref="D49:M4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5"/>
    <col collapsed="false" customWidth="true" hidden="false" outlineLevel="0" max="13" min="4" style="0" width="12.5"/>
  </cols>
  <sheetData>
    <row r="1" customFormat="false" ht="24" hidden="false" customHeight="true" outlineLevel="0" collapsed="false">
      <c r="A1" s="1"/>
      <c r="B1" s="8" t="s">
        <v>337</v>
      </c>
      <c r="C1" s="1"/>
      <c r="D1" s="1"/>
      <c r="E1" s="1"/>
      <c r="F1" s="1"/>
      <c r="G1" s="1"/>
      <c r="H1" s="1"/>
      <c r="I1" s="1"/>
      <c r="J1" s="1"/>
      <c r="K1" s="1"/>
      <c r="L1" s="1"/>
      <c r="M1" s="1"/>
    </row>
    <row r="2" customFormat="false" ht="15" hidden="false" customHeight="false" outlineLevel="0" collapsed="false">
      <c r="A2" s="1"/>
      <c r="B2" s="9" t="s">
        <v>338</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19.5" hidden="false" customHeight="true" outlineLevel="0" collapsed="false">
      <c r="A5" s="1"/>
      <c r="B5" s="14" t="s">
        <v>339</v>
      </c>
      <c r="C5" s="15"/>
      <c r="D5" s="15"/>
      <c r="E5" s="15"/>
      <c r="F5" s="15"/>
      <c r="G5" s="15"/>
      <c r="H5" s="15"/>
      <c r="I5" s="15"/>
      <c r="J5" s="15"/>
      <c r="K5" s="15"/>
      <c r="L5" s="15"/>
      <c r="M5" s="15"/>
    </row>
    <row r="6" customFormat="false" ht="18" hidden="false" customHeight="true" outlineLevel="0" collapsed="false">
      <c r="A6" s="1"/>
      <c r="B6" s="83" t="s">
        <v>237</v>
      </c>
      <c r="C6" s="84" t="n">
        <f aca="false">Exploitation!F22</f>
        <v>124183.539597094</v>
      </c>
      <c r="D6" s="21"/>
      <c r="E6" s="21"/>
      <c r="F6" s="21"/>
      <c r="G6" s="21"/>
      <c r="H6" s="21"/>
      <c r="I6" s="21"/>
      <c r="J6" s="21"/>
      <c r="K6" s="21"/>
      <c r="L6" s="21"/>
      <c r="M6" s="21"/>
    </row>
    <row r="7" customFormat="false" ht="18" hidden="false" customHeight="true" outlineLevel="0" collapsed="false">
      <c r="A7" s="1"/>
      <c r="B7" s="83" t="s">
        <v>260</v>
      </c>
      <c r="C7" s="84" t="n">
        <f aca="false">Exploitation!F45</f>
        <v>65446.0452163758</v>
      </c>
      <c r="D7" s="21"/>
      <c r="E7" s="21"/>
      <c r="F7" s="21"/>
      <c r="G7" s="21"/>
      <c r="H7" s="21"/>
      <c r="I7" s="21"/>
      <c r="J7" s="21"/>
      <c r="K7" s="21"/>
      <c r="L7" s="21"/>
      <c r="M7" s="21"/>
    </row>
    <row r="8" customFormat="false" ht="18" hidden="false" customHeight="true" outlineLevel="0" collapsed="false">
      <c r="A8" s="1"/>
      <c r="B8" s="19" t="s">
        <v>261</v>
      </c>
      <c r="C8" s="85" t="n">
        <f aca="false">Exploitation!F46</f>
        <v>0.527010628209756</v>
      </c>
      <c r="D8" s="21"/>
      <c r="E8" s="21"/>
      <c r="F8" s="21"/>
      <c r="G8" s="21"/>
      <c r="H8" s="21"/>
      <c r="I8" s="21"/>
      <c r="J8" s="21"/>
      <c r="K8" s="21"/>
      <c r="L8" s="21"/>
      <c r="M8" s="21"/>
    </row>
    <row r="9" customFormat="false" ht="18" hidden="false" customHeight="true" outlineLevel="0" collapsed="false">
      <c r="A9" s="1"/>
      <c r="B9" s="83" t="s">
        <v>268</v>
      </c>
      <c r="C9" s="84" t="n">
        <f aca="false">Exploitation!F54</f>
        <v>36593.4528375554</v>
      </c>
      <c r="D9" s="21" t="s">
        <v>340</v>
      </c>
      <c r="E9" s="21"/>
      <c r="F9" s="21"/>
      <c r="G9" s="21"/>
      <c r="H9" s="21"/>
      <c r="I9" s="21"/>
      <c r="J9" s="21"/>
      <c r="K9" s="21"/>
      <c r="L9" s="21"/>
      <c r="M9" s="21"/>
    </row>
    <row r="10" customFormat="false" ht="18" hidden="false" customHeight="true" outlineLevel="0" collapsed="false">
      <c r="A10" s="1"/>
      <c r="B10" s="19" t="s">
        <v>269</v>
      </c>
      <c r="C10" s="73" t="n">
        <f aca="false">Exploitation!F55</f>
        <v>50509.383301274</v>
      </c>
      <c r="D10" s="21"/>
      <c r="E10" s="21"/>
      <c r="F10" s="21"/>
      <c r="G10" s="21"/>
      <c r="H10" s="21"/>
      <c r="I10" s="21"/>
      <c r="J10" s="21"/>
      <c r="K10" s="21"/>
      <c r="L10" s="21"/>
      <c r="M10" s="21"/>
    </row>
    <row r="11" customFormat="false" ht="30" hidden="false" customHeight="true" outlineLevel="0" collapsed="false">
      <c r="A11" s="1"/>
      <c r="B11" s="83" t="s">
        <v>341</v>
      </c>
      <c r="C11" s="86" t="n">
        <f aca="false">IF(C9=0,0,C7/C9)</f>
        <v>1.78846323977412</v>
      </c>
      <c r="D11" s="21" t="s">
        <v>342</v>
      </c>
      <c r="E11" s="21"/>
      <c r="F11" s="21"/>
      <c r="G11" s="21"/>
      <c r="H11" s="21"/>
      <c r="I11" s="21"/>
      <c r="J11" s="21"/>
      <c r="K11" s="21"/>
      <c r="L11" s="21"/>
      <c r="M11" s="21"/>
    </row>
    <row r="12" customFormat="false" ht="18" hidden="false" customHeight="true" outlineLevel="0" collapsed="false">
      <c r="A12" s="1"/>
      <c r="B12" s="19" t="s">
        <v>343</v>
      </c>
      <c r="C12" s="87" t="n">
        <f aca="false">IF(C10=0,0,C7/C10)</f>
        <v>1.29572053624193</v>
      </c>
      <c r="D12" s="21"/>
      <c r="E12" s="21"/>
      <c r="F12" s="21"/>
      <c r="G12" s="21"/>
      <c r="H12" s="21"/>
      <c r="I12" s="21"/>
      <c r="J12" s="21"/>
      <c r="K12" s="21"/>
      <c r="L12" s="21"/>
      <c r="M12" s="21"/>
    </row>
    <row r="13" customFormat="false" ht="18" hidden="false" customHeight="true" outlineLevel="0" collapsed="false">
      <c r="A13" s="1"/>
      <c r="B13" s="19" t="s">
        <v>85</v>
      </c>
      <c r="C13" s="85" t="n">
        <f aca="false">Exploitation!F14</f>
        <v>0.419253043218681</v>
      </c>
      <c r="D13" s="21"/>
      <c r="E13" s="21"/>
      <c r="F13" s="21"/>
      <c r="G13" s="21"/>
      <c r="H13" s="21"/>
      <c r="I13" s="21"/>
      <c r="J13" s="21"/>
      <c r="K13" s="21"/>
      <c r="L13" s="21"/>
      <c r="M13" s="21"/>
    </row>
    <row r="14" customFormat="false" ht="18" hidden="false" customHeight="true" outlineLevel="0" collapsed="false">
      <c r="A14" s="1"/>
      <c r="B14" s="19" t="s">
        <v>87</v>
      </c>
      <c r="C14" s="49" t="n">
        <f aca="false">Hypothèses!$C$40*Exploitation!F9</f>
        <v>0.556463130090249</v>
      </c>
      <c r="D14" s="21"/>
      <c r="E14" s="21"/>
      <c r="F14" s="21"/>
      <c r="G14" s="21"/>
      <c r="H14" s="21"/>
      <c r="I14" s="21"/>
      <c r="J14" s="21"/>
      <c r="K14" s="21"/>
      <c r="L14" s="21"/>
      <c r="M14" s="21"/>
    </row>
    <row r="15" customFormat="false" ht="30" hidden="false" customHeight="true" outlineLevel="0" collapsed="false">
      <c r="A15" s="1"/>
      <c r="B15" s="19" t="s">
        <v>344</v>
      </c>
      <c r="C15" s="51" t="n">
        <f aca="false">(Exploitation!F22-Exploitation!F30)/C14</f>
        <v>179047.638</v>
      </c>
      <c r="D15" s="21" t="s">
        <v>345</v>
      </c>
      <c r="E15" s="21"/>
      <c r="F15" s="21"/>
      <c r="G15" s="21"/>
      <c r="H15" s="21"/>
      <c r="I15" s="21"/>
      <c r="J15" s="21"/>
      <c r="K15" s="21"/>
      <c r="L15" s="21"/>
      <c r="M15" s="21"/>
    </row>
    <row r="16" customFormat="false" ht="30" hidden="false" customHeight="true" outlineLevel="0" collapsed="false">
      <c r="A16" s="1"/>
      <c r="B16" s="83" t="s">
        <v>346</v>
      </c>
      <c r="C16" s="88" t="n">
        <f aca="false">IF(C15&lt;=0,0,Exploitation!F42/C15)</f>
        <v>0.190940043902562</v>
      </c>
      <c r="D16" s="21" t="s">
        <v>347</v>
      </c>
      <c r="E16" s="21"/>
      <c r="F16" s="21"/>
      <c r="G16" s="21"/>
      <c r="H16" s="21"/>
      <c r="I16" s="21"/>
      <c r="J16" s="21"/>
      <c r="K16" s="21"/>
      <c r="L16" s="21"/>
      <c r="M16" s="21"/>
    </row>
    <row r="17" customFormat="false" ht="30" hidden="false" customHeight="true" outlineLevel="0" collapsed="false">
      <c r="A17" s="1"/>
      <c r="B17" s="83" t="s">
        <v>348</v>
      </c>
      <c r="C17" s="88" t="n">
        <f aca="false">IF(C15&lt;=0,0,(Exploitation!F42+C9)/C15)</f>
        <v>0.395318349287163</v>
      </c>
      <c r="D17" s="21" t="s">
        <v>349</v>
      </c>
      <c r="E17" s="21"/>
      <c r="F17" s="21"/>
      <c r="G17" s="21"/>
      <c r="H17" s="21"/>
      <c r="I17" s="21"/>
      <c r="J17" s="21"/>
      <c r="K17" s="21"/>
      <c r="L17" s="21"/>
      <c r="M17" s="21"/>
    </row>
    <row r="18" customFormat="false" ht="30" hidden="false" customHeight="true" outlineLevel="0" collapsed="false">
      <c r="A18" s="1"/>
      <c r="B18" s="83" t="s">
        <v>350</v>
      </c>
      <c r="C18" s="84" t="n">
        <f aca="false">Exploitation!F58</f>
        <v>7989.75772650848</v>
      </c>
      <c r="D18" s="21" t="s">
        <v>351</v>
      </c>
      <c r="E18" s="21"/>
      <c r="F18" s="21"/>
      <c r="G18" s="21"/>
      <c r="H18" s="21"/>
      <c r="I18" s="21"/>
      <c r="J18" s="21"/>
      <c r="K18" s="21"/>
      <c r="L18" s="21"/>
      <c r="M18" s="21"/>
    </row>
    <row r="19" customFormat="false" ht="30" hidden="false" customHeight="true" outlineLevel="0" collapsed="false">
      <c r="A19" s="1"/>
      <c r="B19" s="19" t="s">
        <v>297</v>
      </c>
      <c r="C19" s="73" t="n">
        <f aca="false">Financement!$C$18</f>
        <v>754211.88</v>
      </c>
      <c r="D19" s="21" t="s">
        <v>352</v>
      </c>
      <c r="E19" s="21"/>
      <c r="F19" s="21"/>
      <c r="G19" s="21"/>
      <c r="H19" s="21"/>
      <c r="I19" s="21"/>
      <c r="J19" s="21"/>
      <c r="K19" s="21"/>
      <c r="L19" s="21"/>
      <c r="M19" s="21"/>
    </row>
    <row r="20" customFormat="false" ht="18" hidden="false" customHeight="true" outlineLevel="0" collapsed="false">
      <c r="A20" s="1"/>
      <c r="B20" s="19" t="s">
        <v>353</v>
      </c>
      <c r="C20" s="73" t="n">
        <f aca="false">Financement!$C$23</f>
        <v>63360</v>
      </c>
      <c r="D20" s="21"/>
      <c r="E20" s="21"/>
      <c r="F20" s="21"/>
      <c r="G20" s="21"/>
      <c r="H20" s="21"/>
      <c r="I20" s="21"/>
      <c r="J20" s="21"/>
      <c r="K20" s="21"/>
      <c r="L20" s="21"/>
      <c r="M20" s="21"/>
    </row>
    <row r="21" customFormat="false" ht="18" hidden="false" customHeight="true" outlineLevel="0" collapsed="false">
      <c r="A21" s="1"/>
      <c r="B21" s="19" t="s">
        <v>313</v>
      </c>
      <c r="C21" s="73" t="n">
        <f aca="false">Financement!$C$35</f>
        <v>164436.876</v>
      </c>
      <c r="D21" s="21"/>
      <c r="E21" s="21"/>
      <c r="F21" s="21"/>
      <c r="G21" s="21"/>
      <c r="H21" s="21"/>
      <c r="I21" s="21"/>
      <c r="J21" s="21"/>
      <c r="K21" s="21"/>
      <c r="L21" s="21"/>
      <c r="M21" s="21"/>
    </row>
    <row r="22" customFormat="false" ht="15" hidden="false" customHeight="false" outlineLevel="0" collapsed="false">
      <c r="A22" s="1"/>
      <c r="B22" s="1"/>
      <c r="C22" s="1"/>
      <c r="D22" s="1"/>
      <c r="E22" s="1"/>
      <c r="F22" s="1"/>
      <c r="G22" s="1"/>
      <c r="H22" s="1"/>
      <c r="I22" s="1"/>
      <c r="J22" s="1"/>
      <c r="K22" s="1"/>
      <c r="L22" s="1"/>
      <c r="M22" s="1"/>
    </row>
    <row r="23" customFormat="false" ht="19.5" hidden="false" customHeight="true" outlineLevel="0" collapsed="false">
      <c r="A23" s="1"/>
      <c r="B23" s="14" t="s">
        <v>354</v>
      </c>
      <c r="C23" s="15"/>
      <c r="D23" s="15"/>
      <c r="E23" s="15"/>
      <c r="F23" s="15"/>
      <c r="G23" s="15"/>
      <c r="H23" s="15"/>
      <c r="I23" s="15"/>
      <c r="J23" s="15"/>
      <c r="K23" s="15"/>
      <c r="L23" s="15"/>
      <c r="M23" s="15"/>
    </row>
    <row r="24" customFormat="false" ht="25.5" hidden="false" customHeight="true" outlineLevel="0" collapsed="false">
      <c r="A24" s="1"/>
      <c r="B24" s="16"/>
      <c r="C24" s="17"/>
      <c r="D24" s="17" t="s">
        <v>218</v>
      </c>
      <c r="E24" s="17" t="s">
        <v>219</v>
      </c>
      <c r="F24" s="17" t="s">
        <v>220</v>
      </c>
      <c r="G24" s="17" t="s">
        <v>221</v>
      </c>
      <c r="H24" s="17" t="s">
        <v>222</v>
      </c>
      <c r="I24" s="17" t="s">
        <v>223</v>
      </c>
      <c r="J24" s="17" t="s">
        <v>224</v>
      </c>
      <c r="K24" s="17" t="s">
        <v>225</v>
      </c>
      <c r="L24" s="17" t="s">
        <v>226</v>
      </c>
      <c r="M24" s="17" t="s">
        <v>227</v>
      </c>
    </row>
    <row r="25" customFormat="false" ht="15" hidden="false" customHeight="false" outlineLevel="0" collapsed="false">
      <c r="A25" s="1"/>
      <c r="B25" s="61" t="s">
        <v>237</v>
      </c>
      <c r="C25" s="29"/>
      <c r="D25" s="66" t="n">
        <f aca="false">Exploitation!D22</f>
        <v>109812.43409201</v>
      </c>
      <c r="E25" s="66" t="n">
        <f aca="false">Exploitation!E22</f>
        <v>118096.111185472</v>
      </c>
      <c r="F25" s="66" t="n">
        <f aca="false">Exploitation!F22</f>
        <v>124183.539597094</v>
      </c>
      <c r="G25" s="66" t="n">
        <f aca="false">Exploitation!G22</f>
        <v>126667.210389036</v>
      </c>
      <c r="H25" s="66" t="n">
        <f aca="false">Exploitation!H22</f>
        <v>129200.554596817</v>
      </c>
      <c r="I25" s="66" t="n">
        <f aca="false">Exploitation!I22</f>
        <v>131784.565688753</v>
      </c>
      <c r="J25" s="66" t="n">
        <f aca="false">Exploitation!J22</f>
        <v>134420.257002528</v>
      </c>
      <c r="K25" s="66" t="n">
        <f aca="false">Exploitation!K22</f>
        <v>137108.662142579</v>
      </c>
      <c r="L25" s="66" t="n">
        <f aca="false">Exploitation!L22</f>
        <v>139850.835385431</v>
      </c>
      <c r="M25" s="66" t="n">
        <f aca="false">Exploitation!M22</f>
        <v>142647.852093139</v>
      </c>
    </row>
    <row r="26" customFormat="false" ht="15" hidden="false" customHeight="false" outlineLevel="0" collapsed="false">
      <c r="A26" s="1"/>
      <c r="B26" s="61" t="s">
        <v>260</v>
      </c>
      <c r="C26" s="29"/>
      <c r="D26" s="66" t="n">
        <f aca="false">Exploitation!D45</f>
        <v>55337.8820552058</v>
      </c>
      <c r="E26" s="66" t="n">
        <f aca="false">Exploitation!E45</f>
        <v>61280.6303373269</v>
      </c>
      <c r="F26" s="66" t="n">
        <f aca="false">Exploitation!F45</f>
        <v>65446.0452163758</v>
      </c>
      <c r="G26" s="66" t="n">
        <f aca="false">Exploitation!G45</f>
        <v>66704.5361207033</v>
      </c>
      <c r="H26" s="66" t="n">
        <f aca="false">Exploitation!H45</f>
        <v>67986.9360931174</v>
      </c>
      <c r="I26" s="66" t="n">
        <f aca="false">Exploitation!I45</f>
        <v>69293.6917962297</v>
      </c>
      <c r="J26" s="66" t="n">
        <f aca="false">Exploitation!J45</f>
        <v>70625.2580379356</v>
      </c>
      <c r="K26" s="66" t="n">
        <f aca="false">Exploitation!K45</f>
        <v>71982.09791462</v>
      </c>
      <c r="L26" s="66" t="n">
        <f aca="false">Exploitation!L45</f>
        <v>73364.6829567364</v>
      </c>
      <c r="M26" s="66" t="n">
        <f aca="false">Exploitation!M45</f>
        <v>74773.4932767907</v>
      </c>
    </row>
    <row r="27" customFormat="false" ht="15" hidden="false" customHeight="false" outlineLevel="0" collapsed="false">
      <c r="A27" s="1"/>
      <c r="B27" s="61" t="s">
        <v>268</v>
      </c>
      <c r="C27" s="29"/>
      <c r="D27" s="66" t="n">
        <f aca="false">Exploitation!D54</f>
        <v>36593.4528375554</v>
      </c>
      <c r="E27" s="66" t="n">
        <f aca="false">Exploitation!E54</f>
        <v>36593.4528375554</v>
      </c>
      <c r="F27" s="66" t="n">
        <f aca="false">Exploitation!F54</f>
        <v>36593.4528375554</v>
      </c>
      <c r="G27" s="66" t="n">
        <f aca="false">Exploitation!G54</f>
        <v>36593.4528375554</v>
      </c>
      <c r="H27" s="66" t="n">
        <f aca="false">Exploitation!H54</f>
        <v>36593.4528375554</v>
      </c>
      <c r="I27" s="66" t="n">
        <f aca="false">Exploitation!I54</f>
        <v>36593.4528375554</v>
      </c>
      <c r="J27" s="66" t="n">
        <f aca="false">Exploitation!J54</f>
        <v>36593.4528375554</v>
      </c>
      <c r="K27" s="66" t="n">
        <f aca="false">Exploitation!K54</f>
        <v>20873.8956955779</v>
      </c>
      <c r="L27" s="66" t="n">
        <f aca="false">Exploitation!L54</f>
        <v>20873.8956955779</v>
      </c>
      <c r="M27" s="66" t="n">
        <f aca="false">Exploitation!M54</f>
        <v>20873.8956955779</v>
      </c>
    </row>
    <row r="28" customFormat="false" ht="15" hidden="false" customHeight="false" outlineLevel="0" collapsed="false">
      <c r="A28" s="1"/>
      <c r="B28" s="79" t="s">
        <v>355</v>
      </c>
      <c r="C28" s="29"/>
      <c r="D28" s="89" t="n">
        <f aca="false">IF(D27=0,0,D26/D27)</f>
        <v>1.51223450546905</v>
      </c>
      <c r="E28" s="89" t="n">
        <f aca="false">IF(E27=0,0,E26/E27)</f>
        <v>1.67463372776988</v>
      </c>
      <c r="F28" s="89" t="n">
        <f aca="false">IF(F27=0,0,F26/F27)</f>
        <v>1.78846323977412</v>
      </c>
      <c r="G28" s="89" t="n">
        <f aca="false">IF(G27=0,0,G26/G27)</f>
        <v>1.82285438919405</v>
      </c>
      <c r="H28" s="89" t="n">
        <f aca="false">IF(H27=0,0,H26/H27)</f>
        <v>1.85789890871799</v>
      </c>
      <c r="I28" s="89" t="n">
        <f aca="false">IF(I27=0,0,I26/I27)</f>
        <v>1.89360900442591</v>
      </c>
      <c r="J28" s="89" t="n">
        <f aca="false">IF(J27=0,0,J26/J27)</f>
        <v>1.92999710498632</v>
      </c>
      <c r="K28" s="89" t="n">
        <f aca="false">IF(K27=0,0,K26/K27)</f>
        <v>3.44842663604329</v>
      </c>
      <c r="L28" s="89" t="n">
        <f aca="false">IF(L27=0,0,L26/L27)</f>
        <v>3.51466175871899</v>
      </c>
      <c r="M28" s="89" t="n">
        <f aca="false">IF(M27=0,0,M26/M27)</f>
        <v>3.58215324859707</v>
      </c>
    </row>
    <row r="29" customFormat="false" ht="15" hidden="false" customHeight="false" outlineLevel="0" collapsed="false">
      <c r="A29" s="1"/>
      <c r="B29" s="61" t="s">
        <v>343</v>
      </c>
      <c r="C29" s="29"/>
      <c r="D29" s="90" t="n">
        <f aca="false">IF(Exploitation!D55=0,0,D26/Exploitation!D55)</f>
        <v>1.09559607420133</v>
      </c>
      <c r="E29" s="90" t="n">
        <f aca="false">IF(Exploitation!E55=0,0,E26/Exploitation!E55)</f>
        <v>1.21325239652612</v>
      </c>
      <c r="F29" s="90" t="n">
        <f aca="false">IF(Exploitation!F55=0,0,F26/Exploitation!F55)</f>
        <v>1.29572053624193</v>
      </c>
      <c r="G29" s="90" t="n">
        <f aca="false">IF(Exploitation!G55=0,0,G26/Exploitation!G55)</f>
        <v>1.3206365186213</v>
      </c>
      <c r="H29" s="90" t="n">
        <f aca="false">IF(Exploitation!H55=0,0,H26/Exploitation!H55)</f>
        <v>1.34602585993962</v>
      </c>
      <c r="I29" s="90" t="n">
        <f aca="false">IF(Exploitation!I55=0,0,I26/Exploitation!I55)</f>
        <v>1.37189740335796</v>
      </c>
      <c r="J29" s="90" t="n">
        <f aca="false">IF(Exploitation!J55=0,0,J26/Exploitation!J55)</f>
        <v>1.39826015330015</v>
      </c>
      <c r="K29" s="90" t="n">
        <f aca="false">IF(Exploitation!K55=0,0,K26/Exploitation!K55)</f>
        <v>2.06905598162597</v>
      </c>
      <c r="L29" s="90" t="n">
        <f aca="false">IF(Exploitation!L55=0,0,L26/Exploitation!L55)</f>
        <v>2.10879705523139</v>
      </c>
      <c r="M29" s="90" t="n">
        <f aca="false">IF(Exploitation!M55=0,0,M26/Exploitation!M55)</f>
        <v>2.14929194915824</v>
      </c>
    </row>
    <row r="30" customFormat="false" ht="15" hidden="false" customHeight="false" outlineLevel="0" collapsed="false">
      <c r="A30" s="1"/>
      <c r="B30" s="61" t="s">
        <v>356</v>
      </c>
      <c r="C30" s="29"/>
      <c r="D30" s="66" t="n">
        <f aca="false">Exploitation!D45-Exploitation!D49-Exploitation!D50</f>
        <v>36889.3931277482</v>
      </c>
      <c r="E30" s="66" t="n">
        <f aca="false">Exploitation!E45-Exploitation!E49-Exploitation!E50</f>
        <v>41440.4836581676</v>
      </c>
      <c r="F30" s="66" t="n">
        <f aca="false">Exploitation!F45-Exploitation!F49-Exploitation!F50</f>
        <v>44583.2105640639</v>
      </c>
      <c r="G30" s="66" t="n">
        <f aca="false">Exploitation!G45-Exploitation!G49-Exploitation!G50</f>
        <v>45424.4447753452</v>
      </c>
      <c r="H30" s="66" t="n">
        <f aca="false">Exploitation!H45-Exploitation!H49-Exploitation!H50</f>
        <v>46281.2429208521</v>
      </c>
      <c r="I30" s="66" t="n">
        <f aca="false">Exploitation!I45-Exploitation!I49-Exploitation!I50</f>
        <v>47153.8847605192</v>
      </c>
      <c r="J30" s="66" t="n">
        <f aca="false">Exploitation!J45-Exploitation!J49-Exploitation!J50</f>
        <v>48042.6548615108</v>
      </c>
      <c r="K30" s="66" t="n">
        <f aca="false">Exploitation!K45-Exploitation!K49-Exploitation!K50</f>
        <v>48947.8426746668</v>
      </c>
      <c r="L30" s="66" t="n">
        <f aca="false">Exploitation!L45-Exploitation!L49-Exploitation!L50</f>
        <v>49869.742611984</v>
      </c>
      <c r="M30" s="66" t="n">
        <f aca="false">Exploitation!M45-Exploitation!M49-Exploitation!M50</f>
        <v>50808.6541251433</v>
      </c>
    </row>
    <row r="31" customFormat="false" ht="15" hidden="false" customHeight="false" outlineLevel="0" collapsed="false">
      <c r="A31" s="1"/>
      <c r="B31" s="61" t="s">
        <v>357</v>
      </c>
      <c r="C31" s="29"/>
      <c r="D31" s="91" t="str">
        <f aca="false">IF(D27=0,"sans dette",IF(D28&lt;1,"non couverte",IF(D28&lt;Hypothèses!$C$119,"tendue","couverte")))</f>
        <v>couverte</v>
      </c>
      <c r="E31" s="91" t="str">
        <f aca="false">IF(E27=0,"sans dette",IF(E28&lt;1,"non couverte",IF(E28&lt;Hypothèses!$C$119,"tendue","couverte")))</f>
        <v>couverte</v>
      </c>
      <c r="F31" s="91" t="str">
        <f aca="false">IF(F27=0,"sans dette",IF(F28&lt;1,"non couverte",IF(F28&lt;Hypothèses!$C$119,"tendue","couverte")))</f>
        <v>couverte</v>
      </c>
      <c r="G31" s="91" t="str">
        <f aca="false">IF(G27=0,"sans dette",IF(G28&lt;1,"non couverte",IF(G28&lt;Hypothèses!$C$119,"tendue","couverte")))</f>
        <v>couverte</v>
      </c>
      <c r="H31" s="91" t="str">
        <f aca="false">IF(H27=0,"sans dette",IF(H28&lt;1,"non couverte",IF(H28&lt;Hypothèses!$C$119,"tendue","couverte")))</f>
        <v>couverte</v>
      </c>
      <c r="I31" s="91" t="str">
        <f aca="false">IF(I27=0,"sans dette",IF(I28&lt;1,"non couverte",IF(I28&lt;Hypothèses!$C$119,"tendue","couverte")))</f>
        <v>couverte</v>
      </c>
      <c r="J31" s="91" t="str">
        <f aca="false">IF(J27=0,"sans dette",IF(J28&lt;1,"non couverte",IF(J28&lt;Hypothèses!$C$119,"tendue","couverte")))</f>
        <v>couverte</v>
      </c>
      <c r="K31" s="91" t="str">
        <f aca="false">IF(K27=0,"sans dette",IF(K28&lt;1,"non couverte",IF(K28&lt;Hypothèses!$C$119,"tendue","couverte")))</f>
        <v>couverte</v>
      </c>
      <c r="L31" s="91" t="str">
        <f aca="false">IF(L27=0,"sans dette",IF(L28&lt;1,"non couverte",IF(L28&lt;Hypothèses!$C$119,"tendue","couverte")))</f>
        <v>couverte</v>
      </c>
      <c r="M31" s="91" t="str">
        <f aca="false">IF(M27=0,"sans dette",IF(M28&lt;1,"non couverte",IF(M28&lt;Hypothèses!$C$119,"tendue","couverte")))</f>
        <v>couverte</v>
      </c>
    </row>
    <row r="32" customFormat="false" ht="15" hidden="false" customHeight="false" outlineLevel="0" collapsed="false">
      <c r="A32" s="1"/>
      <c r="B32" s="79" t="s">
        <v>358</v>
      </c>
      <c r="C32" s="29"/>
      <c r="D32" s="92" t="n">
        <f aca="false">Exploitation!D58</f>
        <v>295.940290192724</v>
      </c>
      <c r="E32" s="92" t="n">
        <f aca="false">Exploitation!E58</f>
        <v>4847.03082061212</v>
      </c>
      <c r="F32" s="92" t="n">
        <f aca="false">Exploitation!F58</f>
        <v>7989.75772650848</v>
      </c>
      <c r="G32" s="92" t="n">
        <f aca="false">Exploitation!G58</f>
        <v>8830.99193778975</v>
      </c>
      <c r="H32" s="92" t="n">
        <f aca="false">Exploitation!H58</f>
        <v>9687.79008329666</v>
      </c>
      <c r="I32" s="92" t="n">
        <f aca="false">Exploitation!I58</f>
        <v>10560.4319229637</v>
      </c>
      <c r="J32" s="92" t="n">
        <f aca="false">Exploitation!J58</f>
        <v>11449.2020239553</v>
      </c>
      <c r="K32" s="92" t="n">
        <f aca="false">Exploitation!K58</f>
        <v>28073.9469790889</v>
      </c>
      <c r="L32" s="92" t="n">
        <f aca="false">Exploitation!L58</f>
        <v>28995.8469164062</v>
      </c>
      <c r="M32" s="92" t="n">
        <f aca="false">Exploitation!M58</f>
        <v>29934.7584295654</v>
      </c>
    </row>
    <row r="33" customFormat="false" ht="15" hidden="false" customHeight="false" outlineLevel="0" collapsed="false">
      <c r="A33" s="1"/>
      <c r="B33" s="61" t="s">
        <v>359</v>
      </c>
      <c r="C33" s="29"/>
      <c r="D33" s="66" t="n">
        <f aca="false">SUM($D32:D32)</f>
        <v>295.940290192724</v>
      </c>
      <c r="E33" s="66" t="n">
        <f aca="false">SUM($D32:E32)</f>
        <v>5142.97111080484</v>
      </c>
      <c r="F33" s="66" t="n">
        <f aca="false">SUM($D32:F32)</f>
        <v>13132.7288373133</v>
      </c>
      <c r="G33" s="66" t="n">
        <f aca="false">SUM($D32:G32)</f>
        <v>21963.7207751031</v>
      </c>
      <c r="H33" s="66" t="n">
        <f aca="false">SUM($D32:H32)</f>
        <v>31651.5108583997</v>
      </c>
      <c r="I33" s="66" t="n">
        <f aca="false">SUM($D32:I32)</f>
        <v>42211.9427813634</v>
      </c>
      <c r="J33" s="66" t="n">
        <f aca="false">SUM($D32:J32)</f>
        <v>53661.1448053188</v>
      </c>
      <c r="K33" s="66" t="n">
        <f aca="false">SUM($D32:K32)</f>
        <v>81735.0917844077</v>
      </c>
      <c r="L33" s="66" t="n">
        <f aca="false">SUM($D32:L32)</f>
        <v>110730.938700814</v>
      </c>
      <c r="M33" s="66" t="n">
        <f aca="false">SUM($D32:M32)</f>
        <v>140665.697130379</v>
      </c>
    </row>
    <row r="34" customFormat="false" ht="15" hidden="false" customHeight="false" outlineLevel="0" collapsed="false">
      <c r="A34" s="1"/>
      <c r="B34" s="61" t="s">
        <v>360</v>
      </c>
      <c r="C34" s="29"/>
      <c r="D34" s="66" t="n">
        <f aca="false">Exploitation!D60</f>
        <v>10295.9402901927</v>
      </c>
      <c r="E34" s="66" t="n">
        <f aca="false">Exploitation!E60</f>
        <v>15142.9711108048</v>
      </c>
      <c r="F34" s="66" t="n">
        <f aca="false">Exploitation!F60</f>
        <v>23132.7288373133</v>
      </c>
      <c r="G34" s="66" t="n">
        <f aca="false">Exploitation!G60</f>
        <v>31963.7207751031</v>
      </c>
      <c r="H34" s="66" t="n">
        <f aca="false">Exploitation!H60</f>
        <v>41651.5108583997</v>
      </c>
      <c r="I34" s="66" t="n">
        <f aca="false">Exploitation!I60</f>
        <v>52211.9427813634</v>
      </c>
      <c r="J34" s="66" t="n">
        <f aca="false">Exploitation!J60</f>
        <v>63661.1448053188</v>
      </c>
      <c r="K34" s="66" t="n">
        <f aca="false">Exploitation!K60</f>
        <v>91735.0917844077</v>
      </c>
      <c r="L34" s="66" t="n">
        <f aca="false">Exploitation!L60</f>
        <v>120730.938700814</v>
      </c>
      <c r="M34" s="66" t="n">
        <f aca="false">Exploitation!M60</f>
        <v>150665.697130379</v>
      </c>
    </row>
    <row r="35" customFormat="false" ht="15" hidden="false" customHeight="false" outlineLevel="0" collapsed="false">
      <c r="A35" s="1"/>
      <c r="B35" s="1"/>
      <c r="C35" s="1"/>
      <c r="D35" s="1"/>
      <c r="E35" s="1"/>
      <c r="F35" s="1"/>
      <c r="G35" s="1"/>
      <c r="H35" s="1"/>
      <c r="I35" s="1"/>
      <c r="J35" s="1"/>
      <c r="K35" s="1"/>
      <c r="L35" s="1"/>
      <c r="M35" s="1"/>
    </row>
    <row r="36" customFormat="false" ht="19.5" hidden="false" customHeight="true" outlineLevel="0" collapsed="false">
      <c r="A36" s="1"/>
      <c r="B36" s="14" t="s">
        <v>361</v>
      </c>
      <c r="C36" s="15"/>
      <c r="D36" s="15"/>
      <c r="E36" s="15"/>
      <c r="F36" s="15"/>
      <c r="G36" s="15"/>
      <c r="H36" s="15"/>
      <c r="I36" s="15"/>
      <c r="J36" s="15"/>
      <c r="K36" s="15"/>
      <c r="L36" s="15"/>
      <c r="M36" s="15"/>
    </row>
    <row r="37" customFormat="false" ht="18" hidden="false" customHeight="true" outlineLevel="0" collapsed="false">
      <c r="A37" s="1"/>
      <c r="B37" s="19" t="s">
        <v>362</v>
      </c>
      <c r="C37" s="51" t="n">
        <f aca="false">Financement!$C$13*Hypothèses!$C$87+Financement!$C$17</f>
        <v>506905.128</v>
      </c>
      <c r="D37" s="21" t="s">
        <v>363</v>
      </c>
      <c r="E37" s="21"/>
      <c r="F37" s="21"/>
      <c r="G37" s="21"/>
      <c r="H37" s="21"/>
      <c r="I37" s="21"/>
      <c r="J37" s="21"/>
      <c r="K37" s="21"/>
      <c r="L37" s="21"/>
      <c r="M37" s="21"/>
    </row>
    <row r="38" customFormat="false" ht="18" hidden="false" customHeight="true" outlineLevel="0" collapsed="false">
      <c r="A38" s="1"/>
      <c r="B38" s="19" t="s">
        <v>364</v>
      </c>
      <c r="C38" s="51" t="n">
        <f aca="false">AVERAGE($D$30:$M$30)</f>
        <v>45944.1554080001</v>
      </c>
      <c r="D38" s="21"/>
      <c r="E38" s="21"/>
      <c r="F38" s="21"/>
      <c r="G38" s="21"/>
      <c r="H38" s="21"/>
      <c r="I38" s="21"/>
      <c r="J38" s="21"/>
      <c r="K38" s="21"/>
      <c r="L38" s="21"/>
      <c r="M38" s="21"/>
    </row>
    <row r="39" customFormat="false" ht="30" hidden="false" customHeight="true" outlineLevel="0" collapsed="false">
      <c r="A39" s="1"/>
      <c r="B39" s="83" t="s">
        <v>365</v>
      </c>
      <c r="C39" s="93" t="n">
        <f aca="false">IF(C38&lt;=0,0,C37/C38)</f>
        <v>11.0330709858198</v>
      </c>
      <c r="D39" s="21" t="s">
        <v>366</v>
      </c>
      <c r="E39" s="21"/>
      <c r="F39" s="21"/>
      <c r="G39" s="21"/>
      <c r="H39" s="21"/>
      <c r="I39" s="21"/>
      <c r="J39" s="21"/>
      <c r="K39" s="21"/>
      <c r="L39" s="21"/>
      <c r="M39" s="21"/>
    </row>
    <row r="40" customFormat="false" ht="18" hidden="false" customHeight="true" outlineLevel="0" collapsed="false">
      <c r="A40" s="1"/>
      <c r="B40" s="19" t="s">
        <v>367</v>
      </c>
      <c r="C40" s="51" t="n">
        <f aca="false">AVERAGE($D$32:$M$32)</f>
        <v>14066.5697130379</v>
      </c>
      <c r="D40" s="21"/>
      <c r="E40" s="21"/>
      <c r="F40" s="21"/>
      <c r="G40" s="21"/>
      <c r="H40" s="21"/>
      <c r="I40" s="21"/>
      <c r="J40" s="21"/>
      <c r="K40" s="21"/>
      <c r="L40" s="21"/>
      <c r="M40" s="21"/>
    </row>
    <row r="41" customFormat="false" ht="18" hidden="false" customHeight="true" outlineLevel="0" collapsed="false">
      <c r="A41" s="1"/>
      <c r="B41" s="19" t="s">
        <v>368</v>
      </c>
      <c r="C41" s="49" t="n">
        <f aca="false">IF(C21=0,0,C40/C21)</f>
        <v>0.085543888057311</v>
      </c>
      <c r="D41" s="21" t="s">
        <v>369</v>
      </c>
      <c r="E41" s="21"/>
      <c r="F41" s="21"/>
      <c r="G41" s="21"/>
      <c r="H41" s="21"/>
      <c r="I41" s="21"/>
      <c r="J41" s="21"/>
      <c r="K41" s="21"/>
      <c r="L41" s="21"/>
      <c r="M41" s="21"/>
    </row>
    <row r="42" customFormat="false" ht="30" hidden="false" customHeight="true" outlineLevel="0" collapsed="false">
      <c r="A42" s="1"/>
      <c r="B42" s="83" t="s">
        <v>370</v>
      </c>
      <c r="C42" s="94" t="str">
        <f aca="false">IF(MAX($D$33:$M$33)&lt;C21,"au-delà de 10 ans",COUNTIF($D$33:$M$33,"&lt;"&amp;C21)+1)</f>
        <v>au-delà de 10 ans</v>
      </c>
      <c r="D42" s="21" t="s">
        <v>371</v>
      </c>
      <c r="E42" s="21"/>
      <c r="F42" s="21"/>
      <c r="G42" s="21"/>
      <c r="H42" s="21"/>
      <c r="I42" s="21"/>
      <c r="J42" s="21"/>
      <c r="K42" s="21"/>
      <c r="L42" s="21"/>
      <c r="M42" s="21"/>
    </row>
    <row r="43" customFormat="false" ht="15" hidden="false" customHeight="false" outlineLevel="0" collapsed="false">
      <c r="A43" s="1"/>
      <c r="B43" s="1"/>
      <c r="C43" s="1"/>
      <c r="D43" s="1"/>
      <c r="E43" s="1"/>
      <c r="F43" s="1"/>
      <c r="G43" s="1"/>
      <c r="H43" s="1"/>
      <c r="I43" s="1"/>
      <c r="J43" s="1"/>
      <c r="K43" s="1"/>
      <c r="L43" s="1"/>
      <c r="M43" s="1"/>
    </row>
    <row r="44" customFormat="false" ht="30" hidden="false" customHeight="true" outlineLevel="0" collapsed="false">
      <c r="A44" s="1"/>
      <c r="B44" s="72" t="s">
        <v>372</v>
      </c>
      <c r="C44" s="72"/>
      <c r="D44" s="72"/>
      <c r="E44" s="72"/>
      <c r="F44" s="72"/>
      <c r="G44" s="72"/>
      <c r="H44" s="72"/>
      <c r="I44" s="72"/>
      <c r="J44" s="72"/>
      <c r="K44" s="72"/>
      <c r="L44" s="72"/>
      <c r="M44" s="72"/>
    </row>
  </sheetData>
  <mergeCells count="23">
    <mergeCell ref="D6:M6"/>
    <mergeCell ref="D7:M7"/>
    <mergeCell ref="D8:M8"/>
    <mergeCell ref="D9:M9"/>
    <mergeCell ref="D10:M10"/>
    <mergeCell ref="D11:M11"/>
    <mergeCell ref="D12:M12"/>
    <mergeCell ref="D13:M13"/>
    <mergeCell ref="D14:M14"/>
    <mergeCell ref="D15:M15"/>
    <mergeCell ref="D16:M16"/>
    <mergeCell ref="D17:M17"/>
    <mergeCell ref="D18:M18"/>
    <mergeCell ref="D19:M19"/>
    <mergeCell ref="D20:M20"/>
    <mergeCell ref="D21:M21"/>
    <mergeCell ref="D37:M37"/>
    <mergeCell ref="D38:M38"/>
    <mergeCell ref="D39:M39"/>
    <mergeCell ref="D40:M40"/>
    <mergeCell ref="D41:M41"/>
    <mergeCell ref="D42:M42"/>
    <mergeCell ref="B44:M4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K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10" min="3" style="0" width="14"/>
    <col collapsed="false" customWidth="true" hidden="false" outlineLevel="0" max="11" min="11" style="0" width="16"/>
  </cols>
  <sheetData>
    <row r="1" customFormat="false" ht="24" hidden="false" customHeight="true" outlineLevel="0" collapsed="false">
      <c r="A1" s="1"/>
      <c r="B1" s="8" t="s">
        <v>373</v>
      </c>
      <c r="C1" s="1"/>
      <c r="D1" s="1"/>
      <c r="E1" s="1"/>
      <c r="F1" s="1"/>
      <c r="G1" s="1"/>
      <c r="H1" s="1"/>
      <c r="I1" s="1"/>
      <c r="J1" s="1"/>
      <c r="K1" s="1"/>
    </row>
    <row r="2" customFormat="false" ht="15" hidden="false" customHeight="false" outlineLevel="0" collapsed="false">
      <c r="A2" s="1"/>
      <c r="B2" s="9" t="s">
        <v>374</v>
      </c>
      <c r="C2" s="1"/>
      <c r="D2" s="1"/>
      <c r="E2" s="1"/>
      <c r="F2" s="1"/>
      <c r="G2" s="1"/>
      <c r="H2" s="1"/>
      <c r="I2" s="1"/>
      <c r="J2" s="1"/>
      <c r="K2" s="1"/>
    </row>
    <row r="3" customFormat="false" ht="15" hidden="false" customHeight="false" outlineLevel="0" collapsed="false">
      <c r="A3" s="1"/>
      <c r="B3" s="10" t="s">
        <v>23</v>
      </c>
      <c r="C3" s="1"/>
      <c r="D3" s="1"/>
      <c r="E3" s="1"/>
      <c r="F3" s="1"/>
      <c r="G3" s="1"/>
      <c r="H3" s="1"/>
      <c r="I3" s="1"/>
      <c r="J3" s="1"/>
      <c r="K3" s="1"/>
    </row>
    <row r="4" customFormat="false" ht="15" hidden="false" customHeight="false" outlineLevel="0" collapsed="false">
      <c r="A4" s="1"/>
      <c r="B4" s="1"/>
      <c r="C4" s="1"/>
      <c r="D4" s="1"/>
      <c r="E4" s="1"/>
      <c r="F4" s="1"/>
      <c r="G4" s="1"/>
      <c r="H4" s="1"/>
      <c r="I4" s="1"/>
      <c r="J4" s="1"/>
      <c r="K4" s="1"/>
    </row>
    <row r="5" customFormat="false" ht="19.5" hidden="false" customHeight="true" outlineLevel="0" collapsed="false">
      <c r="A5" s="1"/>
      <c r="B5" s="14" t="s">
        <v>375</v>
      </c>
      <c r="C5" s="15"/>
      <c r="D5" s="15"/>
      <c r="E5" s="15"/>
      <c r="F5" s="15"/>
      <c r="G5" s="15"/>
      <c r="H5" s="15"/>
      <c r="I5" s="15"/>
      <c r="J5" s="15"/>
      <c r="K5" s="15"/>
    </row>
    <row r="6" customFormat="false" ht="15" hidden="false" customHeight="false" outlineLevel="0" collapsed="false">
      <c r="A6" s="1"/>
      <c r="B6" s="95" t="s">
        <v>376</v>
      </c>
      <c r="C6" s="96" t="s">
        <v>377</v>
      </c>
      <c r="D6" s="96"/>
      <c r="E6" s="96"/>
      <c r="F6" s="96"/>
      <c r="G6" s="96"/>
      <c r="H6" s="96"/>
      <c r="I6" s="96"/>
      <c r="J6" s="96"/>
      <c r="K6" s="95" t="s">
        <v>378</v>
      </c>
    </row>
    <row r="7" customFormat="false" ht="55.5" hidden="false" customHeight="true" outlineLevel="0" collapsed="false">
      <c r="A7" s="1"/>
      <c r="B7" s="97" t="s">
        <v>379</v>
      </c>
      <c r="C7" s="98" t="s">
        <v>380</v>
      </c>
      <c r="D7" s="98"/>
      <c r="E7" s="98"/>
      <c r="F7" s="98"/>
      <c r="G7" s="98"/>
      <c r="H7" s="98"/>
      <c r="I7" s="98"/>
      <c r="J7" s="98"/>
      <c r="K7" s="99" t="s">
        <v>381</v>
      </c>
    </row>
    <row r="8" customFormat="false" ht="43.5" hidden="false" customHeight="true" outlineLevel="0" collapsed="false">
      <c r="A8" s="1"/>
      <c r="B8" s="97" t="s">
        <v>382</v>
      </c>
      <c r="C8" s="98" t="s">
        <v>383</v>
      </c>
      <c r="D8" s="98"/>
      <c r="E8" s="98"/>
      <c r="F8" s="98"/>
      <c r="G8" s="98"/>
      <c r="H8" s="98"/>
      <c r="I8" s="98"/>
      <c r="J8" s="98"/>
      <c r="K8" s="99" t="s">
        <v>384</v>
      </c>
    </row>
    <row r="9" customFormat="false" ht="43.5" hidden="false" customHeight="true" outlineLevel="0" collapsed="false">
      <c r="A9" s="1"/>
      <c r="B9" s="97" t="s">
        <v>385</v>
      </c>
      <c r="C9" s="98" t="s">
        <v>386</v>
      </c>
      <c r="D9" s="98"/>
      <c r="E9" s="98"/>
      <c r="F9" s="98"/>
      <c r="G9" s="98"/>
      <c r="H9" s="98"/>
      <c r="I9" s="98"/>
      <c r="J9" s="98"/>
      <c r="K9" s="99" t="s">
        <v>387</v>
      </c>
    </row>
    <row r="10" customFormat="false" ht="30.75" hidden="false" customHeight="true" outlineLevel="0" collapsed="false">
      <c r="A10" s="1"/>
      <c r="B10" s="97" t="s">
        <v>388</v>
      </c>
      <c r="C10" s="98" t="s">
        <v>389</v>
      </c>
      <c r="D10" s="98"/>
      <c r="E10" s="98"/>
      <c r="F10" s="98"/>
      <c r="G10" s="98"/>
      <c r="H10" s="98"/>
      <c r="I10" s="98"/>
      <c r="J10" s="98"/>
      <c r="K10" s="99" t="s">
        <v>390</v>
      </c>
    </row>
    <row r="11" customFormat="false" ht="30.75" hidden="false" customHeight="true" outlineLevel="0" collapsed="false">
      <c r="A11" s="1"/>
      <c r="B11" s="97" t="s">
        <v>391</v>
      </c>
      <c r="C11" s="98" t="s">
        <v>392</v>
      </c>
      <c r="D11" s="98"/>
      <c r="E11" s="98"/>
      <c r="F11" s="98"/>
      <c r="G11" s="98"/>
      <c r="H11" s="98"/>
      <c r="I11" s="98"/>
      <c r="J11" s="98"/>
      <c r="K11" s="99" t="s">
        <v>390</v>
      </c>
    </row>
    <row r="12" customFormat="false" ht="15" hidden="false" customHeight="false" outlineLevel="0" collapsed="false">
      <c r="A12" s="1"/>
      <c r="B12" s="1"/>
      <c r="C12" s="1"/>
      <c r="D12" s="1"/>
      <c r="E12" s="1"/>
      <c r="F12" s="1"/>
      <c r="G12" s="1"/>
      <c r="H12" s="1"/>
      <c r="I12" s="1"/>
      <c r="J12" s="1"/>
      <c r="K12" s="1"/>
    </row>
    <row r="13" customFormat="false" ht="19.5" hidden="false" customHeight="true" outlineLevel="0" collapsed="false">
      <c r="A13" s="1"/>
      <c r="B13" s="14" t="s">
        <v>393</v>
      </c>
      <c r="C13" s="15"/>
      <c r="D13" s="15"/>
      <c r="E13" s="15"/>
      <c r="F13" s="15"/>
      <c r="G13" s="15"/>
      <c r="H13" s="15"/>
      <c r="I13" s="15"/>
      <c r="J13" s="15"/>
      <c r="K13" s="15"/>
    </row>
    <row r="14" customFormat="false" ht="15" hidden="false" customHeight="false" outlineLevel="0" collapsed="false">
      <c r="A14" s="1"/>
      <c r="B14" s="95" t="s">
        <v>376</v>
      </c>
      <c r="C14" s="96" t="s">
        <v>377</v>
      </c>
      <c r="D14" s="96"/>
      <c r="E14" s="96"/>
      <c r="F14" s="96"/>
      <c r="G14" s="96"/>
      <c r="H14" s="96"/>
      <c r="I14" s="96"/>
      <c r="J14" s="96"/>
      <c r="K14" s="95" t="s">
        <v>378</v>
      </c>
    </row>
    <row r="15" customFormat="false" ht="30.75" hidden="false" customHeight="true" outlineLevel="0" collapsed="false">
      <c r="A15" s="1"/>
      <c r="B15" s="97" t="s">
        <v>394</v>
      </c>
      <c r="C15" s="98" t="s">
        <v>395</v>
      </c>
      <c r="D15" s="98"/>
      <c r="E15" s="98"/>
      <c r="F15" s="98"/>
      <c r="G15" s="98"/>
      <c r="H15" s="98"/>
      <c r="I15" s="98"/>
      <c r="J15" s="98"/>
      <c r="K15" s="99" t="s">
        <v>390</v>
      </c>
    </row>
    <row r="16" customFormat="false" ht="18" hidden="false" customHeight="true" outlineLevel="0" collapsed="false">
      <c r="A16" s="1"/>
      <c r="B16" s="97" t="s">
        <v>396</v>
      </c>
      <c r="C16" s="98" t="s">
        <v>397</v>
      </c>
      <c r="D16" s="98"/>
      <c r="E16" s="98"/>
      <c r="F16" s="98"/>
      <c r="G16" s="98"/>
      <c r="H16" s="98"/>
      <c r="I16" s="98"/>
      <c r="J16" s="98"/>
      <c r="K16" s="99" t="s">
        <v>390</v>
      </c>
    </row>
    <row r="17" customFormat="false" ht="30.75" hidden="false" customHeight="true" outlineLevel="0" collapsed="false">
      <c r="A17" s="1"/>
      <c r="B17" s="97" t="s">
        <v>398</v>
      </c>
      <c r="C17" s="98" t="s">
        <v>399</v>
      </c>
      <c r="D17" s="98"/>
      <c r="E17" s="98"/>
      <c r="F17" s="98"/>
      <c r="G17" s="98"/>
      <c r="H17" s="98"/>
      <c r="I17" s="98"/>
      <c r="J17" s="98"/>
      <c r="K17" s="99" t="s">
        <v>390</v>
      </c>
    </row>
    <row r="18" customFormat="false" ht="30.75" hidden="false" customHeight="true" outlineLevel="0" collapsed="false">
      <c r="A18" s="1"/>
      <c r="B18" s="97" t="s">
        <v>400</v>
      </c>
      <c r="C18" s="98" t="s">
        <v>401</v>
      </c>
      <c r="D18" s="98"/>
      <c r="E18" s="98"/>
      <c r="F18" s="98"/>
      <c r="G18" s="98"/>
      <c r="H18" s="98"/>
      <c r="I18" s="98"/>
      <c r="J18" s="98"/>
      <c r="K18" s="99" t="s">
        <v>402</v>
      </c>
    </row>
    <row r="19" customFormat="false" ht="30.75" hidden="false" customHeight="true" outlineLevel="0" collapsed="false">
      <c r="A19" s="1"/>
      <c r="B19" s="97" t="s">
        <v>403</v>
      </c>
      <c r="C19" s="98" t="s">
        <v>404</v>
      </c>
      <c r="D19" s="98"/>
      <c r="E19" s="98"/>
      <c r="F19" s="98"/>
      <c r="G19" s="98"/>
      <c r="H19" s="98"/>
      <c r="I19" s="98"/>
      <c r="J19" s="98"/>
      <c r="K19" s="99" t="s">
        <v>387</v>
      </c>
    </row>
    <row r="20" customFormat="false" ht="30.75" hidden="false" customHeight="true" outlineLevel="0" collapsed="false">
      <c r="A20" s="1"/>
      <c r="B20" s="97" t="s">
        <v>405</v>
      </c>
      <c r="C20" s="98" t="s">
        <v>406</v>
      </c>
      <c r="D20" s="98"/>
      <c r="E20" s="98"/>
      <c r="F20" s="98"/>
      <c r="G20" s="98"/>
      <c r="H20" s="98"/>
      <c r="I20" s="98"/>
      <c r="J20" s="98"/>
      <c r="K20" s="99" t="s">
        <v>407</v>
      </c>
    </row>
    <row r="21" customFormat="false" ht="30.75" hidden="false" customHeight="true" outlineLevel="0" collapsed="false">
      <c r="A21" s="1"/>
      <c r="B21" s="97" t="s">
        <v>408</v>
      </c>
      <c r="C21" s="98" t="s">
        <v>409</v>
      </c>
      <c r="D21" s="98"/>
      <c r="E21" s="98"/>
      <c r="F21" s="98"/>
      <c r="G21" s="98"/>
      <c r="H21" s="98"/>
      <c r="I21" s="98"/>
      <c r="J21" s="98"/>
      <c r="K21" s="99" t="s">
        <v>410</v>
      </c>
    </row>
    <row r="22" customFormat="false" ht="18" hidden="false" customHeight="true" outlineLevel="0" collapsed="false">
      <c r="A22" s="1"/>
      <c r="B22" s="97" t="s">
        <v>411</v>
      </c>
      <c r="C22" s="98" t="s">
        <v>412</v>
      </c>
      <c r="D22" s="98"/>
      <c r="E22" s="98"/>
      <c r="F22" s="98"/>
      <c r="G22" s="98"/>
      <c r="H22" s="98"/>
      <c r="I22" s="98"/>
      <c r="J22" s="98"/>
      <c r="K22" s="99" t="s">
        <v>390</v>
      </c>
    </row>
    <row r="23" customFormat="false" ht="15" hidden="false" customHeight="false" outlineLevel="0" collapsed="false">
      <c r="A23" s="1"/>
      <c r="B23" s="1"/>
      <c r="C23" s="1"/>
      <c r="D23" s="1"/>
      <c r="E23" s="1"/>
      <c r="F23" s="1"/>
      <c r="G23" s="1"/>
      <c r="H23" s="1"/>
      <c r="I23" s="1"/>
      <c r="J23" s="1"/>
      <c r="K23" s="1"/>
    </row>
    <row r="24" customFormat="false" ht="19.5" hidden="false" customHeight="true" outlineLevel="0" collapsed="false">
      <c r="A24" s="1"/>
      <c r="B24" s="14" t="s">
        <v>413</v>
      </c>
      <c r="C24" s="15"/>
      <c r="D24" s="15"/>
      <c r="E24" s="15"/>
      <c r="F24" s="15"/>
      <c r="G24" s="15"/>
      <c r="H24" s="15"/>
      <c r="I24" s="15"/>
      <c r="J24" s="15"/>
      <c r="K24" s="15"/>
    </row>
    <row r="25" customFormat="false" ht="15" hidden="false" customHeight="false" outlineLevel="0" collapsed="false">
      <c r="A25" s="1"/>
      <c r="B25" s="95" t="s">
        <v>376</v>
      </c>
      <c r="C25" s="96" t="s">
        <v>377</v>
      </c>
      <c r="D25" s="96"/>
      <c r="E25" s="96"/>
      <c r="F25" s="96"/>
      <c r="G25" s="96"/>
      <c r="H25" s="96"/>
      <c r="I25" s="96"/>
      <c r="J25" s="96"/>
      <c r="K25" s="95" t="s">
        <v>378</v>
      </c>
    </row>
    <row r="26" customFormat="false" ht="43.5" hidden="false" customHeight="true" outlineLevel="0" collapsed="false">
      <c r="A26" s="1"/>
      <c r="B26" s="97" t="s">
        <v>414</v>
      </c>
      <c r="C26" s="98" t="s">
        <v>415</v>
      </c>
      <c r="D26" s="98"/>
      <c r="E26" s="98"/>
      <c r="F26" s="98"/>
      <c r="G26" s="98"/>
      <c r="H26" s="98"/>
      <c r="I26" s="98"/>
      <c r="J26" s="98"/>
      <c r="K26" s="99" t="s">
        <v>416</v>
      </c>
    </row>
    <row r="27" customFormat="false" ht="30.75" hidden="false" customHeight="true" outlineLevel="0" collapsed="false">
      <c r="A27" s="1"/>
      <c r="B27" s="97" t="s">
        <v>417</v>
      </c>
      <c r="C27" s="98" t="s">
        <v>418</v>
      </c>
      <c r="D27" s="98"/>
      <c r="E27" s="98"/>
      <c r="F27" s="98"/>
      <c r="G27" s="98"/>
      <c r="H27" s="98"/>
      <c r="I27" s="98"/>
      <c r="J27" s="98"/>
      <c r="K27" s="99" t="s">
        <v>416</v>
      </c>
    </row>
    <row r="28" customFormat="false" ht="30.75" hidden="false" customHeight="true" outlineLevel="0" collapsed="false">
      <c r="A28" s="1"/>
      <c r="B28" s="97" t="s">
        <v>419</v>
      </c>
      <c r="C28" s="98" t="s">
        <v>420</v>
      </c>
      <c r="D28" s="98"/>
      <c r="E28" s="98"/>
      <c r="F28" s="98"/>
      <c r="G28" s="98"/>
      <c r="H28" s="98"/>
      <c r="I28" s="98"/>
      <c r="J28" s="98"/>
      <c r="K28" s="99" t="s">
        <v>421</v>
      </c>
    </row>
    <row r="29" customFormat="false" ht="43.5" hidden="false" customHeight="true" outlineLevel="0" collapsed="false">
      <c r="A29" s="1"/>
      <c r="B29" s="97" t="s">
        <v>422</v>
      </c>
      <c r="C29" s="98" t="s">
        <v>423</v>
      </c>
      <c r="D29" s="98"/>
      <c r="E29" s="98"/>
      <c r="F29" s="98"/>
      <c r="G29" s="98"/>
      <c r="H29" s="98"/>
      <c r="I29" s="98"/>
      <c r="J29" s="98"/>
      <c r="K29" s="99" t="s">
        <v>424</v>
      </c>
    </row>
    <row r="30" customFormat="false" ht="30.75" hidden="false" customHeight="true" outlineLevel="0" collapsed="false">
      <c r="A30" s="1"/>
      <c r="B30" s="97" t="s">
        <v>425</v>
      </c>
      <c r="C30" s="98" t="s">
        <v>426</v>
      </c>
      <c r="D30" s="98"/>
      <c r="E30" s="98"/>
      <c r="F30" s="98"/>
      <c r="G30" s="98"/>
      <c r="H30" s="98"/>
      <c r="I30" s="98"/>
      <c r="J30" s="98"/>
      <c r="K30" s="99" t="s">
        <v>427</v>
      </c>
    </row>
    <row r="31" customFormat="false" ht="15" hidden="false" customHeight="false" outlineLevel="0" collapsed="false">
      <c r="A31" s="1"/>
      <c r="B31" s="1"/>
      <c r="C31" s="1"/>
      <c r="D31" s="1"/>
      <c r="E31" s="1"/>
      <c r="F31" s="1"/>
      <c r="G31" s="1"/>
      <c r="H31" s="1"/>
      <c r="I31" s="1"/>
      <c r="J31" s="1"/>
      <c r="K31" s="1"/>
    </row>
    <row r="32" customFormat="false" ht="19.5" hidden="false" customHeight="true" outlineLevel="0" collapsed="false">
      <c r="A32" s="1"/>
      <c r="B32" s="14" t="s">
        <v>428</v>
      </c>
      <c r="C32" s="15"/>
      <c r="D32" s="15"/>
      <c r="E32" s="15"/>
      <c r="F32" s="15"/>
      <c r="G32" s="15"/>
      <c r="H32" s="15"/>
      <c r="I32" s="15"/>
      <c r="J32" s="15"/>
      <c r="K32" s="15"/>
    </row>
    <row r="33" customFormat="false" ht="15" hidden="false" customHeight="false" outlineLevel="0" collapsed="false">
      <c r="A33" s="1"/>
      <c r="B33" s="95" t="s">
        <v>376</v>
      </c>
      <c r="C33" s="96" t="s">
        <v>377</v>
      </c>
      <c r="D33" s="96"/>
      <c r="E33" s="96"/>
      <c r="F33" s="96"/>
      <c r="G33" s="96"/>
      <c r="H33" s="96"/>
      <c r="I33" s="96"/>
      <c r="J33" s="96"/>
      <c r="K33" s="95" t="s">
        <v>378</v>
      </c>
    </row>
    <row r="34" customFormat="false" ht="30.75" hidden="false" customHeight="true" outlineLevel="0" collapsed="false">
      <c r="A34" s="1"/>
      <c r="B34" s="97" t="s">
        <v>429</v>
      </c>
      <c r="C34" s="98" t="s">
        <v>430</v>
      </c>
      <c r="D34" s="98"/>
      <c r="E34" s="98"/>
      <c r="F34" s="98"/>
      <c r="G34" s="98"/>
      <c r="H34" s="98"/>
      <c r="I34" s="98"/>
      <c r="J34" s="98"/>
      <c r="K34" s="99" t="s">
        <v>431</v>
      </c>
    </row>
    <row r="35" customFormat="false" ht="30.75" hidden="false" customHeight="true" outlineLevel="0" collapsed="false">
      <c r="A35" s="1"/>
      <c r="B35" s="97" t="s">
        <v>432</v>
      </c>
      <c r="C35" s="98" t="s">
        <v>433</v>
      </c>
      <c r="D35" s="98"/>
      <c r="E35" s="98"/>
      <c r="F35" s="98"/>
      <c r="G35" s="98"/>
      <c r="H35" s="98"/>
      <c r="I35" s="98"/>
      <c r="J35" s="98"/>
      <c r="K35" s="99" t="s">
        <v>434</v>
      </c>
    </row>
    <row r="36" customFormat="false" ht="30.75" hidden="false" customHeight="true" outlineLevel="0" collapsed="false">
      <c r="A36" s="1"/>
      <c r="B36" s="97" t="s">
        <v>435</v>
      </c>
      <c r="C36" s="98" t="s">
        <v>436</v>
      </c>
      <c r="D36" s="98"/>
      <c r="E36" s="98"/>
      <c r="F36" s="98"/>
      <c r="G36" s="98"/>
      <c r="H36" s="98"/>
      <c r="I36" s="98"/>
      <c r="J36" s="98"/>
      <c r="K36" s="99" t="s">
        <v>437</v>
      </c>
    </row>
    <row r="37" customFormat="false" ht="43.5" hidden="false" customHeight="true" outlineLevel="0" collapsed="false">
      <c r="A37" s="1"/>
      <c r="B37" s="97" t="s">
        <v>438</v>
      </c>
      <c r="C37" s="98" t="s">
        <v>439</v>
      </c>
      <c r="D37" s="98"/>
      <c r="E37" s="98"/>
      <c r="F37" s="98"/>
      <c r="G37" s="98"/>
      <c r="H37" s="98"/>
      <c r="I37" s="98"/>
      <c r="J37" s="98"/>
      <c r="K37" s="99" t="s">
        <v>440</v>
      </c>
    </row>
    <row r="38" customFormat="false" ht="30.75" hidden="false" customHeight="true" outlineLevel="0" collapsed="false">
      <c r="A38" s="1"/>
      <c r="B38" s="97" t="s">
        <v>441</v>
      </c>
      <c r="C38" s="98" t="s">
        <v>442</v>
      </c>
      <c r="D38" s="98"/>
      <c r="E38" s="98"/>
      <c r="F38" s="98"/>
      <c r="G38" s="98"/>
      <c r="H38" s="98"/>
      <c r="I38" s="98"/>
      <c r="J38" s="98"/>
      <c r="K38" s="99" t="s">
        <v>443</v>
      </c>
    </row>
    <row r="39" customFormat="false" ht="15" hidden="false" customHeight="false" outlineLevel="0" collapsed="false">
      <c r="A39" s="1"/>
      <c r="B39" s="1"/>
      <c r="C39" s="1"/>
      <c r="D39" s="1"/>
      <c r="E39" s="1"/>
      <c r="F39" s="1"/>
      <c r="G39" s="1"/>
      <c r="H39" s="1"/>
      <c r="I39" s="1"/>
      <c r="J39" s="1"/>
      <c r="K39" s="1"/>
    </row>
    <row r="40" customFormat="false" ht="19.5" hidden="false" customHeight="true" outlineLevel="0" collapsed="false">
      <c r="A40" s="1"/>
      <c r="B40" s="14" t="s">
        <v>444</v>
      </c>
      <c r="C40" s="15"/>
      <c r="D40" s="15"/>
      <c r="E40" s="15"/>
      <c r="F40" s="15"/>
      <c r="G40" s="15"/>
      <c r="H40" s="15"/>
      <c r="I40" s="15"/>
      <c r="J40" s="15"/>
      <c r="K40" s="15"/>
    </row>
    <row r="41" customFormat="false" ht="15" hidden="false" customHeight="false" outlineLevel="0" collapsed="false">
      <c r="A41" s="1"/>
      <c r="B41" s="95" t="s">
        <v>445</v>
      </c>
      <c r="C41" s="96" t="s">
        <v>446</v>
      </c>
      <c r="D41" s="96"/>
      <c r="E41" s="96"/>
      <c r="F41" s="96"/>
      <c r="G41" s="96"/>
      <c r="H41" s="96"/>
      <c r="I41" s="96"/>
      <c r="J41" s="96"/>
      <c r="K41" s="95" t="s">
        <v>378</v>
      </c>
    </row>
    <row r="42" customFormat="false" ht="55.5" hidden="false" customHeight="true" outlineLevel="0" collapsed="false">
      <c r="A42" s="1"/>
      <c r="B42" s="97" t="s">
        <v>447</v>
      </c>
      <c r="C42" s="98" t="s">
        <v>448</v>
      </c>
      <c r="D42" s="98"/>
      <c r="E42" s="98"/>
      <c r="F42" s="98"/>
      <c r="G42" s="98"/>
      <c r="H42" s="98"/>
      <c r="I42" s="98"/>
      <c r="J42" s="98"/>
      <c r="K42" s="99" t="s">
        <v>449</v>
      </c>
    </row>
    <row r="43" customFormat="false" ht="55.5" hidden="false" customHeight="true" outlineLevel="0" collapsed="false">
      <c r="A43" s="1"/>
      <c r="B43" s="97" t="s">
        <v>450</v>
      </c>
      <c r="C43" s="98" t="s">
        <v>451</v>
      </c>
      <c r="D43" s="98"/>
      <c r="E43" s="98"/>
      <c r="F43" s="98"/>
      <c r="G43" s="98"/>
      <c r="H43" s="98"/>
      <c r="I43" s="98"/>
      <c r="J43" s="98"/>
      <c r="K43" s="99" t="s">
        <v>452</v>
      </c>
    </row>
    <row r="44" customFormat="false" ht="43.5" hidden="false" customHeight="true" outlineLevel="0" collapsed="false">
      <c r="A44" s="1"/>
      <c r="B44" s="97" t="s">
        <v>453</v>
      </c>
      <c r="C44" s="98" t="s">
        <v>454</v>
      </c>
      <c r="D44" s="98"/>
      <c r="E44" s="98"/>
      <c r="F44" s="98"/>
      <c r="G44" s="98"/>
      <c r="H44" s="98"/>
      <c r="I44" s="98"/>
      <c r="J44" s="98"/>
      <c r="K44" s="99" t="s">
        <v>455</v>
      </c>
    </row>
    <row r="45" customFormat="false" ht="43.5" hidden="false" customHeight="true" outlineLevel="0" collapsed="false">
      <c r="A45" s="1"/>
      <c r="B45" s="97" t="s">
        <v>456</v>
      </c>
      <c r="C45" s="98" t="s">
        <v>457</v>
      </c>
      <c r="D45" s="98"/>
      <c r="E45" s="98"/>
      <c r="F45" s="98"/>
      <c r="G45" s="98"/>
      <c r="H45" s="98"/>
      <c r="I45" s="98"/>
      <c r="J45" s="98"/>
      <c r="K45" s="99" t="s">
        <v>458</v>
      </c>
    </row>
    <row r="46" customFormat="false" ht="15" hidden="false" customHeight="false" outlineLevel="0" collapsed="false">
      <c r="A46" s="1"/>
      <c r="B46" s="1"/>
      <c r="C46" s="1"/>
      <c r="D46" s="1"/>
      <c r="E46" s="1"/>
      <c r="F46" s="1"/>
      <c r="G46" s="1"/>
      <c r="H46" s="1"/>
      <c r="I46" s="1"/>
      <c r="J46" s="1"/>
      <c r="K46" s="1"/>
    </row>
    <row r="47" customFormat="false" ht="19.5" hidden="false" customHeight="true" outlineLevel="0" collapsed="false">
      <c r="A47" s="1"/>
      <c r="B47" s="14" t="s">
        <v>459</v>
      </c>
      <c r="C47" s="15"/>
      <c r="D47" s="15"/>
      <c r="E47" s="15"/>
      <c r="F47" s="15"/>
      <c r="G47" s="15"/>
      <c r="H47" s="15"/>
      <c r="I47" s="15"/>
      <c r="J47" s="15"/>
      <c r="K47" s="15"/>
    </row>
    <row r="48" customFormat="false" ht="15" hidden="false" customHeight="false" outlineLevel="0" collapsed="false">
      <c r="A48" s="1"/>
      <c r="B48" s="95" t="s">
        <v>376</v>
      </c>
      <c r="C48" s="96" t="s">
        <v>377</v>
      </c>
      <c r="D48" s="96"/>
      <c r="E48" s="96"/>
      <c r="F48" s="96"/>
      <c r="G48" s="96"/>
      <c r="H48" s="96"/>
      <c r="I48" s="96"/>
      <c r="J48" s="96"/>
      <c r="K48" s="95" t="s">
        <v>378</v>
      </c>
    </row>
    <row r="49" customFormat="false" ht="30.75" hidden="false" customHeight="true" outlineLevel="0" collapsed="false">
      <c r="A49" s="1"/>
      <c r="B49" s="97" t="s">
        <v>460</v>
      </c>
      <c r="C49" s="98" t="s">
        <v>461</v>
      </c>
      <c r="D49" s="98"/>
      <c r="E49" s="98"/>
      <c r="F49" s="98"/>
      <c r="G49" s="98"/>
      <c r="H49" s="98"/>
      <c r="I49" s="98"/>
      <c r="J49" s="98"/>
      <c r="K49" s="99" t="s">
        <v>462</v>
      </c>
    </row>
    <row r="50" customFormat="false" ht="30.75" hidden="false" customHeight="true" outlineLevel="0" collapsed="false">
      <c r="A50" s="1"/>
      <c r="B50" s="97" t="s">
        <v>463</v>
      </c>
      <c r="C50" s="98" t="s">
        <v>464</v>
      </c>
      <c r="D50" s="98"/>
      <c r="E50" s="98"/>
      <c r="F50" s="98"/>
      <c r="G50" s="98"/>
      <c r="H50" s="98"/>
      <c r="I50" s="98"/>
      <c r="J50" s="98"/>
      <c r="K50" s="99" t="s">
        <v>465</v>
      </c>
    </row>
  </sheetData>
  <mergeCells count="35">
    <mergeCell ref="C6:J6"/>
    <mergeCell ref="C7:J7"/>
    <mergeCell ref="C8:J8"/>
    <mergeCell ref="C9:J9"/>
    <mergeCell ref="C10:J10"/>
    <mergeCell ref="C11:J11"/>
    <mergeCell ref="C14:J14"/>
    <mergeCell ref="C15:J15"/>
    <mergeCell ref="C16:J16"/>
    <mergeCell ref="C17:J17"/>
    <mergeCell ref="C18:J18"/>
    <mergeCell ref="C19:J19"/>
    <mergeCell ref="C20:J20"/>
    <mergeCell ref="C21:J21"/>
    <mergeCell ref="C22:J22"/>
    <mergeCell ref="C25:J25"/>
    <mergeCell ref="C26:J26"/>
    <mergeCell ref="C27:J27"/>
    <mergeCell ref="C28:J28"/>
    <mergeCell ref="C29:J29"/>
    <mergeCell ref="C30:J30"/>
    <mergeCell ref="C33:J33"/>
    <mergeCell ref="C34:J34"/>
    <mergeCell ref="C35:J35"/>
    <mergeCell ref="C36:J36"/>
    <mergeCell ref="C37:J37"/>
    <mergeCell ref="C38:J38"/>
    <mergeCell ref="C41:J41"/>
    <mergeCell ref="C42:J42"/>
    <mergeCell ref="C43:J43"/>
    <mergeCell ref="C44:J44"/>
    <mergeCell ref="C45:J45"/>
    <mergeCell ref="C48:J48"/>
    <mergeCell ref="C49:J49"/>
    <mergeCell ref="C50:J5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F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
    <col collapsed="false" customWidth="true" hidden="false" outlineLevel="0" max="3" min="3" style="0" width="34"/>
    <col collapsed="false" customWidth="true" hidden="false" outlineLevel="0" max="4" min="4" style="0" width="70"/>
    <col collapsed="false" customWidth="true" hidden="false" outlineLevel="0" max="5" min="5" style="0" width="20"/>
    <col collapsed="false" customWidth="true" hidden="false" outlineLevel="0" max="6" min="6" style="0" width="70"/>
  </cols>
  <sheetData>
    <row r="1" customFormat="false" ht="24" hidden="false" customHeight="true" outlineLevel="0" collapsed="false">
      <c r="A1" s="1"/>
      <c r="B1" s="8" t="s">
        <v>466</v>
      </c>
      <c r="C1" s="1"/>
      <c r="D1" s="1"/>
      <c r="E1" s="1"/>
      <c r="F1" s="1"/>
    </row>
    <row r="2" customFormat="false" ht="15" hidden="false" customHeight="false" outlineLevel="0" collapsed="false">
      <c r="A2" s="1"/>
      <c r="B2" s="9" t="s">
        <v>467</v>
      </c>
      <c r="C2" s="1"/>
      <c r="D2" s="1"/>
      <c r="E2" s="1"/>
      <c r="F2" s="1"/>
    </row>
    <row r="3" customFormat="false" ht="15" hidden="false" customHeight="false" outlineLevel="0" collapsed="false">
      <c r="A3" s="1"/>
      <c r="B3" s="10" t="s">
        <v>23</v>
      </c>
      <c r="C3" s="1"/>
      <c r="D3" s="1"/>
      <c r="E3" s="1"/>
      <c r="F3" s="1"/>
    </row>
    <row r="4" customFormat="false" ht="15" hidden="false" customHeight="false" outlineLevel="0" collapsed="false">
      <c r="A4" s="1"/>
      <c r="B4" s="1"/>
      <c r="C4" s="1"/>
      <c r="D4" s="1"/>
      <c r="E4" s="1"/>
      <c r="F4" s="1"/>
    </row>
    <row r="5" customFormat="false" ht="25.5" hidden="false" customHeight="true" outlineLevel="0" collapsed="false">
      <c r="A5" s="1"/>
      <c r="B5" s="16" t="s">
        <v>468</v>
      </c>
      <c r="C5" s="17" t="s">
        <v>469</v>
      </c>
      <c r="D5" s="17" t="s">
        <v>470</v>
      </c>
      <c r="E5" s="17" t="s">
        <v>471</v>
      </c>
      <c r="F5" s="17" t="s">
        <v>472</v>
      </c>
    </row>
    <row r="6" customFormat="false" ht="30" hidden="false" customHeight="true" outlineLevel="0" collapsed="false">
      <c r="A6" s="1"/>
      <c r="B6" s="100" t="s">
        <v>473</v>
      </c>
      <c r="C6" s="101" t="s">
        <v>474</v>
      </c>
      <c r="D6" s="101" t="s">
        <v>475</v>
      </c>
      <c r="E6" s="101" t="s">
        <v>476</v>
      </c>
      <c r="F6" s="102" t="s">
        <v>477</v>
      </c>
    </row>
    <row r="7" customFormat="false" ht="30" hidden="false" customHeight="true" outlineLevel="0" collapsed="false">
      <c r="A7" s="1"/>
      <c r="B7" s="100" t="s">
        <v>478</v>
      </c>
      <c r="C7" s="101" t="s">
        <v>474</v>
      </c>
      <c r="D7" s="101" t="s">
        <v>479</v>
      </c>
      <c r="E7" s="101" t="s">
        <v>480</v>
      </c>
      <c r="F7" s="102" t="s">
        <v>481</v>
      </c>
    </row>
    <row r="8" customFormat="false" ht="30" hidden="false" customHeight="true" outlineLevel="0" collapsed="false">
      <c r="A8" s="1"/>
      <c r="B8" s="100" t="s">
        <v>482</v>
      </c>
      <c r="C8" s="101" t="s">
        <v>474</v>
      </c>
      <c r="D8" s="101" t="s">
        <v>483</v>
      </c>
      <c r="E8" s="101" t="s">
        <v>484</v>
      </c>
      <c r="F8" s="102" t="s">
        <v>485</v>
      </c>
    </row>
    <row r="9" customFormat="false" ht="30" hidden="false" customHeight="true" outlineLevel="0" collapsed="false">
      <c r="A9" s="1"/>
      <c r="B9" s="100" t="s">
        <v>486</v>
      </c>
      <c r="C9" s="101" t="s">
        <v>487</v>
      </c>
      <c r="D9" s="101" t="s">
        <v>488</v>
      </c>
      <c r="E9" s="101" t="s">
        <v>489</v>
      </c>
      <c r="F9" s="102" t="s">
        <v>490</v>
      </c>
    </row>
    <row r="10" customFormat="false" ht="30" hidden="false" customHeight="true" outlineLevel="0" collapsed="false">
      <c r="A10" s="1"/>
      <c r="B10" s="100" t="s">
        <v>491</v>
      </c>
      <c r="C10" s="101" t="s">
        <v>492</v>
      </c>
      <c r="D10" s="101" t="s">
        <v>493</v>
      </c>
      <c r="E10" s="101" t="s">
        <v>494</v>
      </c>
      <c r="F10" s="102" t="s">
        <v>495</v>
      </c>
    </row>
    <row r="11" customFormat="false" ht="30" hidden="false" customHeight="true" outlineLevel="0" collapsed="false">
      <c r="A11" s="1"/>
      <c r="B11" s="100" t="s">
        <v>496</v>
      </c>
      <c r="C11" s="101" t="s">
        <v>497</v>
      </c>
      <c r="D11" s="101" t="s">
        <v>498</v>
      </c>
      <c r="E11" s="101" t="s">
        <v>499</v>
      </c>
      <c r="F11" s="102" t="s">
        <v>500</v>
      </c>
    </row>
    <row r="12" customFormat="false" ht="30" hidden="false" customHeight="true" outlineLevel="0" collapsed="false">
      <c r="A12" s="1"/>
      <c r="B12" s="100" t="s">
        <v>501</v>
      </c>
      <c r="C12" s="101" t="s">
        <v>497</v>
      </c>
      <c r="D12" s="101" t="s">
        <v>502</v>
      </c>
      <c r="E12" s="101" t="s">
        <v>499</v>
      </c>
      <c r="F12" s="102" t="s">
        <v>503</v>
      </c>
    </row>
    <row r="13" customFormat="false" ht="18" hidden="false" customHeight="true" outlineLevel="0" collapsed="false">
      <c r="A13" s="1"/>
      <c r="B13" s="100" t="s">
        <v>504</v>
      </c>
      <c r="C13" s="101" t="s">
        <v>505</v>
      </c>
      <c r="D13" s="101" t="s">
        <v>506</v>
      </c>
      <c r="E13" s="101" t="s">
        <v>507</v>
      </c>
      <c r="F13" s="102" t="s">
        <v>508</v>
      </c>
    </row>
    <row r="14" customFormat="false" ht="30" hidden="false" customHeight="true" outlineLevel="0" collapsed="false">
      <c r="A14" s="1"/>
      <c r="B14" s="100" t="s">
        <v>509</v>
      </c>
      <c r="C14" s="101" t="s">
        <v>510</v>
      </c>
      <c r="D14" s="101" t="s">
        <v>511</v>
      </c>
      <c r="E14" s="101" t="s">
        <v>512</v>
      </c>
      <c r="F14" s="102" t="s">
        <v>513</v>
      </c>
    </row>
    <row r="15" customFormat="false" ht="30" hidden="false" customHeight="true" outlineLevel="0" collapsed="false">
      <c r="A15" s="1"/>
      <c r="B15" s="100" t="s">
        <v>514</v>
      </c>
      <c r="C15" s="101" t="s">
        <v>515</v>
      </c>
      <c r="D15" s="101" t="s">
        <v>516</v>
      </c>
      <c r="E15" s="101" t="s">
        <v>517</v>
      </c>
      <c r="F15" s="102" t="s">
        <v>518</v>
      </c>
    </row>
    <row r="16" customFormat="false" ht="30" hidden="false" customHeight="true" outlineLevel="0" collapsed="false">
      <c r="A16" s="1"/>
      <c r="B16" s="100" t="s">
        <v>519</v>
      </c>
      <c r="C16" s="101" t="s">
        <v>520</v>
      </c>
      <c r="D16" s="101" t="s">
        <v>521</v>
      </c>
      <c r="E16" s="101" t="s">
        <v>522</v>
      </c>
      <c r="F16" s="102" t="s">
        <v>523</v>
      </c>
    </row>
    <row r="17" customFormat="false" ht="30" hidden="false" customHeight="true" outlineLevel="0" collapsed="false">
      <c r="A17" s="1"/>
      <c r="B17" s="100" t="s">
        <v>524</v>
      </c>
      <c r="C17" s="101" t="s">
        <v>525</v>
      </c>
      <c r="D17" s="101" t="s">
        <v>526</v>
      </c>
      <c r="E17" s="101" t="s">
        <v>527</v>
      </c>
      <c r="F17" s="102" t="s">
        <v>528</v>
      </c>
    </row>
    <row r="18" customFormat="false" ht="30" hidden="false" customHeight="true" outlineLevel="0" collapsed="false">
      <c r="A18" s="1"/>
      <c r="B18" s="100" t="s">
        <v>529</v>
      </c>
      <c r="C18" s="101" t="s">
        <v>530</v>
      </c>
      <c r="D18" s="101" t="s">
        <v>531</v>
      </c>
      <c r="E18" s="101" t="s">
        <v>532</v>
      </c>
      <c r="F18" s="102" t="s">
        <v>533</v>
      </c>
    </row>
    <row r="19" customFormat="false" ht="18" hidden="false" customHeight="true" outlineLevel="0" collapsed="false">
      <c r="A19" s="1"/>
      <c r="B19" s="100" t="s">
        <v>534</v>
      </c>
      <c r="C19" s="101" t="s">
        <v>535</v>
      </c>
      <c r="D19" s="101" t="s">
        <v>536</v>
      </c>
      <c r="E19" s="101" t="s">
        <v>537</v>
      </c>
      <c r="F19" s="102" t="s">
        <v>538</v>
      </c>
    </row>
    <row r="20" customFormat="false" ht="18" hidden="false" customHeight="true" outlineLevel="0" collapsed="false">
      <c r="A20" s="1"/>
      <c r="B20" s="100" t="s">
        <v>539</v>
      </c>
      <c r="C20" s="101" t="s">
        <v>540</v>
      </c>
      <c r="D20" s="101" t="s">
        <v>541</v>
      </c>
      <c r="E20" s="101" t="s">
        <v>542</v>
      </c>
      <c r="F20" s="102" t="s">
        <v>543</v>
      </c>
    </row>
    <row r="21" customFormat="false" ht="30" hidden="false" customHeight="true" outlineLevel="0" collapsed="false">
      <c r="A21" s="1"/>
      <c r="B21" s="100" t="s">
        <v>544</v>
      </c>
      <c r="C21" s="101" t="s">
        <v>545</v>
      </c>
      <c r="D21" s="101" t="s">
        <v>546</v>
      </c>
      <c r="E21" s="101" t="s">
        <v>547</v>
      </c>
      <c r="F21" s="102" t="s">
        <v>548</v>
      </c>
    </row>
    <row r="22" customFormat="false" ht="30" hidden="false" customHeight="true" outlineLevel="0" collapsed="false">
      <c r="A22" s="1"/>
      <c r="B22" s="100" t="s">
        <v>549</v>
      </c>
      <c r="C22" s="101" t="s">
        <v>550</v>
      </c>
      <c r="D22" s="101" t="s">
        <v>551</v>
      </c>
      <c r="E22" s="101" t="s">
        <v>552</v>
      </c>
      <c r="F22" s="102" t="s">
        <v>553</v>
      </c>
    </row>
    <row r="23" customFormat="false" ht="30" hidden="false" customHeight="true" outlineLevel="0" collapsed="false">
      <c r="A23" s="1"/>
      <c r="B23" s="100" t="s">
        <v>554</v>
      </c>
      <c r="C23" s="101" t="s">
        <v>555</v>
      </c>
      <c r="D23" s="101" t="s">
        <v>556</v>
      </c>
      <c r="E23" s="101" t="s">
        <v>557</v>
      </c>
      <c r="F23" s="102" t="s">
        <v>558</v>
      </c>
    </row>
    <row r="24" customFormat="false" ht="30" hidden="false" customHeight="true" outlineLevel="0" collapsed="false">
      <c r="A24" s="1"/>
      <c r="B24" s="100" t="s">
        <v>559</v>
      </c>
      <c r="C24" s="101" t="s">
        <v>560</v>
      </c>
      <c r="D24" s="101" t="s">
        <v>561</v>
      </c>
      <c r="E24" s="101" t="s">
        <v>562</v>
      </c>
      <c r="F24" s="102" t="s">
        <v>563</v>
      </c>
    </row>
    <row r="25" customFormat="false" ht="30" hidden="false" customHeight="true" outlineLevel="0" collapsed="false">
      <c r="A25" s="1"/>
      <c r="B25" s="100" t="s">
        <v>564</v>
      </c>
      <c r="C25" s="101" t="s">
        <v>565</v>
      </c>
      <c r="D25" s="101" t="s">
        <v>566</v>
      </c>
      <c r="E25" s="101" t="s">
        <v>567</v>
      </c>
      <c r="F25" s="102" t="s">
        <v>568</v>
      </c>
    </row>
    <row r="26" customFormat="false" ht="30" hidden="false" customHeight="true" outlineLevel="0" collapsed="false">
      <c r="A26" s="1"/>
      <c r="B26" s="100" t="s">
        <v>569</v>
      </c>
      <c r="C26" s="101" t="s">
        <v>570</v>
      </c>
      <c r="D26" s="101" t="s">
        <v>571</v>
      </c>
      <c r="E26" s="101" t="s">
        <v>572</v>
      </c>
      <c r="F26" s="102" t="s">
        <v>573</v>
      </c>
    </row>
    <row r="27" customFormat="false" ht="30" hidden="false" customHeight="true" outlineLevel="0" collapsed="false">
      <c r="A27" s="1"/>
      <c r="B27" s="100" t="s">
        <v>574</v>
      </c>
      <c r="C27" s="101" t="s">
        <v>575</v>
      </c>
      <c r="D27" s="101" t="s">
        <v>576</v>
      </c>
      <c r="E27" s="101" t="s">
        <v>577</v>
      </c>
      <c r="F27" s="102" t="s">
        <v>578</v>
      </c>
    </row>
    <row r="28" customFormat="false" ht="30" hidden="false" customHeight="true" outlineLevel="0" collapsed="false">
      <c r="A28" s="1"/>
      <c r="B28" s="100" t="s">
        <v>579</v>
      </c>
      <c r="C28" s="101" t="s">
        <v>580</v>
      </c>
      <c r="D28" s="101" t="s">
        <v>581</v>
      </c>
      <c r="E28" s="101" t="s">
        <v>582</v>
      </c>
      <c r="F28" s="102" t="s">
        <v>583</v>
      </c>
    </row>
    <row r="29" customFormat="false" ht="30" hidden="false" customHeight="true" outlineLevel="0" collapsed="false">
      <c r="A29" s="1"/>
      <c r="B29" s="100" t="s">
        <v>584</v>
      </c>
      <c r="C29" s="101" t="s">
        <v>505</v>
      </c>
      <c r="D29" s="101" t="s">
        <v>585</v>
      </c>
      <c r="E29" s="101" t="s">
        <v>507</v>
      </c>
      <c r="F29" s="102" t="s">
        <v>586</v>
      </c>
    </row>
    <row r="30" customFormat="false" ht="30" hidden="false" customHeight="true" outlineLevel="0" collapsed="false">
      <c r="A30" s="1"/>
      <c r="B30" s="100" t="s">
        <v>587</v>
      </c>
      <c r="C30" s="101" t="s">
        <v>497</v>
      </c>
      <c r="D30" s="101" t="s">
        <v>588</v>
      </c>
      <c r="E30" s="101" t="s">
        <v>589</v>
      </c>
      <c r="F30" s="102" t="s">
        <v>590</v>
      </c>
    </row>
    <row r="31" customFormat="false" ht="30" hidden="false" customHeight="true" outlineLevel="0" collapsed="false">
      <c r="A31" s="1"/>
      <c r="B31" s="100" t="s">
        <v>591</v>
      </c>
      <c r="C31" s="101" t="s">
        <v>497</v>
      </c>
      <c r="D31" s="101" t="s">
        <v>592</v>
      </c>
      <c r="E31" s="101" t="s">
        <v>593</v>
      </c>
      <c r="F31" s="102" t="s">
        <v>594</v>
      </c>
    </row>
    <row r="32" customFormat="false" ht="30" hidden="false" customHeight="true" outlineLevel="0" collapsed="false">
      <c r="A32" s="1"/>
      <c r="B32" s="100" t="s">
        <v>595</v>
      </c>
      <c r="C32" s="101" t="s">
        <v>505</v>
      </c>
      <c r="D32" s="101" t="s">
        <v>596</v>
      </c>
      <c r="E32" s="101" t="s">
        <v>507</v>
      </c>
      <c r="F32" s="102" t="s">
        <v>597</v>
      </c>
    </row>
    <row r="33" customFormat="false" ht="30" hidden="false" customHeight="true" outlineLevel="0" collapsed="false">
      <c r="A33" s="1"/>
      <c r="B33" s="100" t="s">
        <v>598</v>
      </c>
      <c r="C33" s="101" t="s">
        <v>599</v>
      </c>
      <c r="D33" s="101" t="s">
        <v>600</v>
      </c>
      <c r="E33" s="101" t="s">
        <v>567</v>
      </c>
      <c r="F33" s="102" t="s">
        <v>601</v>
      </c>
    </row>
    <row r="34" customFormat="false" ht="30" hidden="false" customHeight="true" outlineLevel="0" collapsed="false">
      <c r="A34" s="1"/>
      <c r="B34" s="100" t="s">
        <v>602</v>
      </c>
      <c r="C34" s="101" t="s">
        <v>603</v>
      </c>
      <c r="D34" s="101" t="s">
        <v>604</v>
      </c>
      <c r="E34" s="101" t="s">
        <v>605</v>
      </c>
      <c r="F34" s="102" t="s">
        <v>606</v>
      </c>
    </row>
    <row r="35" customFormat="false" ht="18" hidden="false" customHeight="true" outlineLevel="0" collapsed="false">
      <c r="A35" s="1"/>
      <c r="B35" s="100" t="s">
        <v>607</v>
      </c>
      <c r="C35" s="101" t="s">
        <v>608</v>
      </c>
      <c r="D35" s="101" t="s">
        <v>609</v>
      </c>
      <c r="E35" s="101" t="s">
        <v>610</v>
      </c>
      <c r="F35" s="102" t="s">
        <v>611</v>
      </c>
    </row>
    <row r="36" customFormat="false" ht="18" hidden="false" customHeight="true" outlineLevel="0" collapsed="false">
      <c r="A36" s="1"/>
      <c r="B36" s="100" t="s">
        <v>612</v>
      </c>
      <c r="C36" s="101" t="s">
        <v>608</v>
      </c>
      <c r="D36" s="101" t="s">
        <v>613</v>
      </c>
      <c r="E36" s="101" t="s">
        <v>614</v>
      </c>
      <c r="F36" s="102" t="s">
        <v>615</v>
      </c>
    </row>
    <row r="37" customFormat="false" ht="30" hidden="false" customHeight="true" outlineLevel="0" collapsed="false">
      <c r="A37" s="1"/>
      <c r="B37" s="100" t="s">
        <v>616</v>
      </c>
      <c r="C37" s="101" t="s">
        <v>617</v>
      </c>
      <c r="D37" s="101" t="s">
        <v>618</v>
      </c>
      <c r="E37" s="101" t="s">
        <v>619</v>
      </c>
      <c r="F37" s="102" t="s">
        <v>620</v>
      </c>
    </row>
    <row r="38" customFormat="false" ht="18" hidden="false" customHeight="true" outlineLevel="0" collapsed="false">
      <c r="A38" s="1"/>
      <c r="B38" s="100" t="s">
        <v>621</v>
      </c>
      <c r="C38" s="101" t="s">
        <v>622</v>
      </c>
      <c r="D38" s="101" t="s">
        <v>623</v>
      </c>
      <c r="E38" s="101" t="s">
        <v>624</v>
      </c>
      <c r="F38" s="102" t="s">
        <v>625</v>
      </c>
    </row>
    <row r="39" customFormat="false" ht="30" hidden="false" customHeight="true" outlineLevel="0" collapsed="false">
      <c r="A39" s="1"/>
      <c r="B39" s="100" t="s">
        <v>626</v>
      </c>
      <c r="C39" s="101" t="s">
        <v>627</v>
      </c>
      <c r="D39" s="101" t="s">
        <v>628</v>
      </c>
      <c r="E39" s="101" t="s">
        <v>629</v>
      </c>
      <c r="F39" s="102" t="s">
        <v>630</v>
      </c>
    </row>
    <row r="40" customFormat="false" ht="30" hidden="false" customHeight="true" outlineLevel="0" collapsed="false">
      <c r="A40" s="1"/>
      <c r="B40" s="100" t="s">
        <v>631</v>
      </c>
      <c r="C40" s="101" t="s">
        <v>632</v>
      </c>
      <c r="D40" s="101" t="s">
        <v>633</v>
      </c>
      <c r="E40" s="101" t="s">
        <v>634</v>
      </c>
      <c r="F40" s="102" t="s">
        <v>635</v>
      </c>
    </row>
    <row r="41" customFormat="false" ht="18" hidden="false" customHeight="true" outlineLevel="0" collapsed="false">
      <c r="A41" s="1"/>
      <c r="B41" s="100" t="s">
        <v>636</v>
      </c>
      <c r="C41" s="101" t="s">
        <v>608</v>
      </c>
      <c r="D41" s="101" t="s">
        <v>637</v>
      </c>
      <c r="E41" s="101" t="s">
        <v>638</v>
      </c>
      <c r="F41" s="102" t="s">
        <v>639</v>
      </c>
    </row>
    <row r="42" customFormat="false" ht="30" hidden="false" customHeight="true" outlineLevel="0" collapsed="false">
      <c r="A42" s="1"/>
      <c r="B42" s="100" t="s">
        <v>640</v>
      </c>
      <c r="C42" s="101" t="s">
        <v>641</v>
      </c>
      <c r="D42" s="101" t="s">
        <v>642</v>
      </c>
      <c r="E42" s="101" t="s">
        <v>643</v>
      </c>
      <c r="F42" s="102" t="s">
        <v>644</v>
      </c>
    </row>
    <row r="43" customFormat="false" ht="30" hidden="false" customHeight="true" outlineLevel="0" collapsed="false">
      <c r="A43" s="1"/>
      <c r="B43" s="100" t="s">
        <v>645</v>
      </c>
      <c r="C43" s="101" t="s">
        <v>505</v>
      </c>
      <c r="D43" s="101" t="s">
        <v>646</v>
      </c>
      <c r="E43" s="101" t="s">
        <v>507</v>
      </c>
      <c r="F43" s="102" t="s">
        <v>647</v>
      </c>
    </row>
    <row r="44" customFormat="false" ht="30" hidden="false" customHeight="true" outlineLevel="0" collapsed="false">
      <c r="A44" s="1"/>
      <c r="B44" s="100" t="s">
        <v>648</v>
      </c>
      <c r="C44" s="101" t="s">
        <v>649</v>
      </c>
      <c r="D44" s="101" t="s">
        <v>650</v>
      </c>
      <c r="E44" s="101" t="s">
        <v>651</v>
      </c>
      <c r="F44" s="102" t="s">
        <v>652</v>
      </c>
    </row>
    <row r="45" customFormat="false" ht="18" hidden="false" customHeight="true" outlineLevel="0" collapsed="false">
      <c r="A45" s="1"/>
      <c r="B45" s="100" t="s">
        <v>653</v>
      </c>
      <c r="C45" s="101" t="s">
        <v>654</v>
      </c>
      <c r="D45" s="101" t="s">
        <v>655</v>
      </c>
      <c r="E45" s="101" t="s">
        <v>656</v>
      </c>
      <c r="F45" s="102" t="s">
        <v>657</v>
      </c>
    </row>
    <row r="46" customFormat="false" ht="30" hidden="false" customHeight="true" outlineLevel="0" collapsed="false">
      <c r="A46" s="1"/>
      <c r="B46" s="100" t="s">
        <v>658</v>
      </c>
      <c r="C46" s="101" t="s">
        <v>654</v>
      </c>
      <c r="D46" s="101" t="s">
        <v>659</v>
      </c>
      <c r="E46" s="101" t="s">
        <v>480</v>
      </c>
      <c r="F46" s="102" t="s">
        <v>660</v>
      </c>
    </row>
    <row r="47" customFormat="false" ht="30" hidden="false" customHeight="true" outlineLevel="0" collapsed="false">
      <c r="A47" s="1"/>
      <c r="B47" s="100" t="s">
        <v>661</v>
      </c>
      <c r="C47" s="101" t="s">
        <v>662</v>
      </c>
      <c r="D47" s="101" t="s">
        <v>663</v>
      </c>
      <c r="E47" s="101" t="s">
        <v>664</v>
      </c>
      <c r="F47" s="102" t="s">
        <v>665</v>
      </c>
    </row>
    <row r="48" customFormat="false" ht="18" hidden="false" customHeight="true" outlineLevel="0" collapsed="false">
      <c r="A48" s="1"/>
      <c r="B48" s="100" t="s">
        <v>666</v>
      </c>
      <c r="C48" s="101" t="s">
        <v>667</v>
      </c>
      <c r="D48" s="101" t="s">
        <v>668</v>
      </c>
      <c r="E48" s="101" t="s">
        <v>669</v>
      </c>
      <c r="F48" s="102" t="s">
        <v>670</v>
      </c>
    </row>
    <row r="49" customFormat="false" ht="18" hidden="false" customHeight="true" outlineLevel="0" collapsed="false">
      <c r="A49" s="1"/>
      <c r="B49" s="100" t="s">
        <v>671</v>
      </c>
      <c r="C49" s="101" t="s">
        <v>667</v>
      </c>
      <c r="D49" s="101" t="s">
        <v>672</v>
      </c>
      <c r="E49" s="101" t="s">
        <v>673</v>
      </c>
      <c r="F49" s="102" t="s">
        <v>674</v>
      </c>
    </row>
    <row r="50" customFormat="false" ht="30" hidden="false" customHeight="true" outlineLevel="0" collapsed="false">
      <c r="A50" s="1"/>
      <c r="B50" s="100" t="s">
        <v>675</v>
      </c>
      <c r="C50" s="101" t="s">
        <v>676</v>
      </c>
      <c r="D50" s="101" t="s">
        <v>677</v>
      </c>
      <c r="E50" s="101" t="s">
        <v>678</v>
      </c>
      <c r="F50" s="102" t="s">
        <v>679</v>
      </c>
    </row>
    <row r="51" customFormat="false" ht="30" hidden="false" customHeight="true" outlineLevel="0" collapsed="false">
      <c r="A51" s="1"/>
      <c r="B51" s="100" t="s">
        <v>680</v>
      </c>
      <c r="C51" s="101" t="s">
        <v>681</v>
      </c>
      <c r="D51" s="101" t="s">
        <v>682</v>
      </c>
      <c r="E51" s="101" t="s">
        <v>683</v>
      </c>
      <c r="F51" s="102" t="s">
        <v>684</v>
      </c>
    </row>
    <row r="52" customFormat="false" ht="30" hidden="false" customHeight="true" outlineLevel="0" collapsed="false">
      <c r="A52" s="1"/>
      <c r="B52" s="100" t="s">
        <v>685</v>
      </c>
      <c r="C52" s="101" t="s">
        <v>686</v>
      </c>
      <c r="D52" s="101" t="s">
        <v>687</v>
      </c>
      <c r="E52" s="101" t="s">
        <v>688</v>
      </c>
      <c r="F52" s="102" t="s">
        <v>689</v>
      </c>
    </row>
    <row r="53" customFormat="false" ht="30" hidden="false" customHeight="true" outlineLevel="0" collapsed="false">
      <c r="A53" s="1"/>
      <c r="B53" s="100" t="s">
        <v>690</v>
      </c>
      <c r="C53" s="101" t="s">
        <v>691</v>
      </c>
      <c r="D53" s="101" t="s">
        <v>692</v>
      </c>
      <c r="E53" s="101" t="s">
        <v>693</v>
      </c>
      <c r="F53" s="102" t="s">
        <v>694</v>
      </c>
    </row>
    <row r="54" customFormat="false" ht="30" hidden="false" customHeight="true" outlineLevel="0" collapsed="false">
      <c r="A54" s="1"/>
      <c r="B54" s="100" t="s">
        <v>695</v>
      </c>
      <c r="C54" s="101" t="s">
        <v>696</v>
      </c>
      <c r="D54" s="101" t="s">
        <v>697</v>
      </c>
      <c r="E54" s="101" t="s">
        <v>698</v>
      </c>
      <c r="F54" s="102" t="s">
        <v>699</v>
      </c>
    </row>
    <row r="55" customFormat="false" ht="30" hidden="false" customHeight="true" outlineLevel="0" collapsed="false">
      <c r="A55" s="1"/>
      <c r="B55" s="100" t="s">
        <v>700</v>
      </c>
      <c r="C55" s="101" t="s">
        <v>701</v>
      </c>
      <c r="D55" s="101" t="s">
        <v>702</v>
      </c>
      <c r="E55" s="101" t="s">
        <v>703</v>
      </c>
      <c r="F55" s="102" t="s">
        <v>704</v>
      </c>
    </row>
    <row r="56" customFormat="false" ht="30" hidden="false" customHeight="true" outlineLevel="0" collapsed="false">
      <c r="A56" s="1"/>
      <c r="B56" s="100" t="s">
        <v>705</v>
      </c>
      <c r="C56" s="101" t="s">
        <v>497</v>
      </c>
      <c r="D56" s="101" t="s">
        <v>706</v>
      </c>
      <c r="E56" s="101" t="s">
        <v>707</v>
      </c>
      <c r="F56" s="102" t="s">
        <v>708</v>
      </c>
    </row>
    <row r="57" customFormat="false" ht="30" hidden="false" customHeight="true" outlineLevel="0" collapsed="false">
      <c r="A57" s="1"/>
      <c r="B57" s="100" t="s">
        <v>709</v>
      </c>
      <c r="C57" s="101" t="s">
        <v>599</v>
      </c>
      <c r="D57" s="101" t="s">
        <v>710</v>
      </c>
      <c r="E57" s="101" t="s">
        <v>567</v>
      </c>
      <c r="F57" s="102" t="s">
        <v>711</v>
      </c>
    </row>
    <row r="58" customFormat="false" ht="30" hidden="false" customHeight="true" outlineLevel="0" collapsed="false">
      <c r="A58" s="1"/>
      <c r="B58" s="100" t="s">
        <v>712</v>
      </c>
      <c r="C58" s="101" t="s">
        <v>713</v>
      </c>
      <c r="D58" s="101" t="s">
        <v>714</v>
      </c>
      <c r="E58" s="101" t="s">
        <v>567</v>
      </c>
      <c r="F58" s="102" t="s">
        <v>715</v>
      </c>
    </row>
    <row r="59" customFormat="false" ht="30" hidden="false" customHeight="true" outlineLevel="0" collapsed="false">
      <c r="A59" s="1"/>
      <c r="B59" s="100" t="s">
        <v>716</v>
      </c>
      <c r="C59" s="101" t="s">
        <v>717</v>
      </c>
      <c r="D59" s="101" t="s">
        <v>718</v>
      </c>
      <c r="E59" s="101" t="s">
        <v>719</v>
      </c>
      <c r="F59" s="102" t="s">
        <v>720</v>
      </c>
    </row>
    <row r="60" customFormat="false" ht="30" hidden="false" customHeight="true" outlineLevel="0" collapsed="false">
      <c r="A60" s="1"/>
      <c r="B60" s="100" t="s">
        <v>721</v>
      </c>
      <c r="C60" s="101" t="s">
        <v>722</v>
      </c>
      <c r="D60" s="101" t="s">
        <v>723</v>
      </c>
      <c r="E60" s="101" t="s">
        <v>724</v>
      </c>
      <c r="F60" s="102" t="s">
        <v>725</v>
      </c>
    </row>
    <row r="61" customFormat="false" ht="30" hidden="false" customHeight="true" outlineLevel="0" collapsed="false">
      <c r="A61" s="1"/>
      <c r="B61" s="100" t="s">
        <v>726</v>
      </c>
      <c r="C61" s="101" t="s">
        <v>727</v>
      </c>
      <c r="D61" s="101" t="s">
        <v>728</v>
      </c>
      <c r="E61" s="101" t="s">
        <v>729</v>
      </c>
      <c r="F61" s="102" t="s">
        <v>730</v>
      </c>
    </row>
    <row r="62" customFormat="false" ht="30" hidden="false" customHeight="true" outlineLevel="0" collapsed="false">
      <c r="A62" s="1"/>
      <c r="B62" s="100" t="s">
        <v>731</v>
      </c>
      <c r="C62" s="101" t="s">
        <v>732</v>
      </c>
      <c r="D62" s="101" t="s">
        <v>733</v>
      </c>
      <c r="E62" s="101" t="s">
        <v>734</v>
      </c>
      <c r="F62" s="102" t="s">
        <v>735</v>
      </c>
    </row>
    <row r="63" customFormat="false" ht="30" hidden="false" customHeight="true" outlineLevel="0" collapsed="false">
      <c r="A63" s="1"/>
      <c r="B63" s="100" t="s">
        <v>736</v>
      </c>
      <c r="C63" s="101" t="s">
        <v>627</v>
      </c>
      <c r="D63" s="101" t="s">
        <v>737</v>
      </c>
      <c r="E63" s="101" t="s">
        <v>738</v>
      </c>
      <c r="F63" s="102" t="s">
        <v>739</v>
      </c>
    </row>
    <row r="64" customFormat="false" ht="30" hidden="false" customHeight="true" outlineLevel="0" collapsed="false">
      <c r="A64" s="1"/>
      <c r="B64" s="100" t="s">
        <v>740</v>
      </c>
      <c r="C64" s="101" t="s">
        <v>654</v>
      </c>
      <c r="D64" s="101" t="s">
        <v>741</v>
      </c>
      <c r="E64" s="101" t="s">
        <v>742</v>
      </c>
      <c r="F64" s="102" t="s">
        <v>743</v>
      </c>
    </row>
    <row r="65" customFormat="false" ht="30" hidden="false" customHeight="true" outlineLevel="0" collapsed="false">
      <c r="A65" s="1"/>
      <c r="B65" s="100" t="s">
        <v>744</v>
      </c>
      <c r="C65" s="101" t="s">
        <v>745</v>
      </c>
      <c r="D65" s="101" t="s">
        <v>746</v>
      </c>
      <c r="E65" s="101" t="s">
        <v>747</v>
      </c>
      <c r="F65" s="102" t="s">
        <v>748</v>
      </c>
    </row>
    <row r="66" customFormat="false" ht="15" hidden="false" customHeight="false" outlineLevel="0" collapsed="false">
      <c r="A66" s="1"/>
      <c r="B66" s="1"/>
      <c r="C66" s="1"/>
      <c r="D66" s="1"/>
      <c r="E66" s="1"/>
      <c r="F66" s="1"/>
    </row>
    <row r="67" customFormat="false" ht="30" hidden="false" customHeight="true" outlineLevel="0" collapsed="false">
      <c r="A67" s="1"/>
      <c r="B67" s="72" t="s">
        <v>749</v>
      </c>
      <c r="C67" s="72"/>
      <c r="D67" s="72"/>
      <c r="E67" s="72"/>
      <c r="F67" s="72"/>
    </row>
    <row r="68" customFormat="false" ht="30" hidden="false" customHeight="true" outlineLevel="0" collapsed="false">
      <c r="A68" s="1"/>
      <c r="B68" s="72" t="s">
        <v>750</v>
      </c>
      <c r="C68" s="72"/>
      <c r="D68" s="72"/>
      <c r="E68" s="72"/>
      <c r="F68" s="72"/>
    </row>
  </sheetData>
  <mergeCells count="2">
    <mergeCell ref="B67:F67"/>
    <mergeCell ref="B68:F68"/>
  </mergeCells>
  <hyperlinks>
    <hyperlink ref="F6" r:id="rId1" display="https://www.umih.fr/assets/files/site/ressources/observatoires-et-etudes/Observatoire_mensuel_des_performances_hotelieres_UMIH___GNC_Decembre_2025.pdf"/>
    <hyperlink ref="F7" r:id="rId2" display="https://www.umih.fr/assets/files/site/ressources/observatoires-et-etudes/Observatoire_mensuel_des_performances_hotelieres_UMIH___GNC___Aout_2025.pdf"/>
    <hyperlink ref="F8" r:id="rId3" display="https://www.umih.fr/assets/files/site/ressources/observatoires-et-etudes/Observatoire_mensuel_des_performances_hotelieres_UMIH___GNC_Janvier2025.pdf"/>
    <hyperlink ref="F9" r:id="rId4" display="https://pro.normandie-tourisme.fr/app/uploads/sites/2/2026/04/la-frequentation-dans-lhotellerie-en-2025.pdf"/>
    <hyperlink ref="F10" r:id="rId5" display="https://www.gironde-tourisme.com/espace-pro/wp-content/uploads/sites/2/2026/03/Gironde-Bilan-touristique-2025.pdf"/>
    <hyperlink ref="F11" r:id="rId6" display="https://www.banque-france.fr/system/files/2024-12/fascicule-sectoriel-hebergement-55-2023.pdf"/>
    <hyperlink ref="F12" r:id="rId7" display="https://www.banque-france.fr/system/files/2024-12/fascicule-sectoriel-restauration-56-2023.pdf"/>
    <hyperlink ref="F13" r:id="rId8" display="https://www.keobiz.fr/fiches-pratiques/ratio-masse-salariale-chr/"/>
    <hyperlink ref="F14" r:id="rId9" display="https://www.umih.fr/assets/files/site/medias/l-essentiel-nous-chrd/2026_juillet_aout_L_Essentiel_40.pdf"/>
    <hyperlink ref="F15" r:id="rId10" display="https://www.umih.fr/assets/files/site/medias/communiques-de-presse/2024/240212_CP%20GHR-UMIH%20Energie.pdf"/>
    <hyperlink ref="F16" r:id="rId11" display="https://hospitality-on.com/fr/distribution/distribution-hoteliere-europeenne-le-duopole-booking-expedia-se-fige-les-rapports-de"/>
    <hyperlink ref="F17" r:id="rId12" display="https://www.journaldeleconomie.fr/?p=25192"/>
    <hyperlink ref="F18" r:id="rId13" display="https://www.senat.fr/rap/r17-587/r17-587-syn.pdf"/>
    <hyperlink ref="F19" r:id="rId14" display="https://costar.com/article/1366873980/capex-study-authors-4-reserves-not-enough"/>
    <hyperlink ref="F20" r:id="rId15" display="https://www.info.gouv.fr/actualite/le-smic-revalorise-au-1er-janvier-2026"/>
    <hyperlink ref="F21" r:id="rId16" display="https://www.ffbatiment.fr/actualites-batiment/actualite/augmentation-smic-juin-2026"/>
    <hyperlink ref="F22" r:id="rId17" display="https://www.lhotellerie-restauration.fr/sos-experts/comment-evaluer-la-qualite-d-un-bail-dans-le-cadre-d-une-evaluation"/>
    <hyperlink ref="F23" r:id="rId18" display="https://hospitality-on.com/fr/investisseurs/bpifrance-et-extendam-reunissent-les-banquiers-pour-parler-investissement-hotelier"/>
    <hyperlink ref="F24" r:id="rId19" display="https://www.ifc-expertise.fr/valeurs-de-fonds-de-commerce-dhotellerie-entre-mythes-et-realites/"/>
    <hyperlink ref="F25" r:id="rId20" display="https://www.cushmanwakefield.com/fr-fr/france/insights/paris-marketbeat-hospitality"/>
    <hyperlink ref="F26" r:id="rId21" display="https://www.entreprises.cci-paris-idf.fr/fiches-pratiques/acquisition-dun-fonds-de-commerce-quelles-consequences-fiscales"/>
    <hyperlink ref="F27" r:id="rId22" display="https://www.notaires.fr/fr/immobilier-fiscalite/financement/les-frais-dacquisition"/>
    <hyperlink ref="F28" r:id="rId23" display="https://www.weblex.fr/weblex-actualite/vente-d-immeubles-les-taux-et-exonerations-applicables-au-1er-juin-2026-sont-connus"/>
    <hyperlink ref="F29" r:id="rId24" display="https://www.keobiz.fr/fiches-pratiques/ouvrir-restaurant-hotel/cout-amenagement-chambre-hotel/"/>
    <hyperlink ref="F30" r:id="rId25" display="https://www.banque-france.fr/fr/statistiques/credit/financement-des-entreprises-2026-08"/>
    <hyperlink ref="F31" r:id="rId26" display="https://www.banque-france.fr/system/files/2026-10/Stat_info_Credits_aux_particuliers_202608.pdf"/>
    <hyperlink ref="F32" r:id="rId27" display="https://www.keobiz.fr/fiches-pratiques/ouvrir-restaurant-hotel/financement-immobilier-credit-bail-hotel/"/>
    <hyperlink ref="F33" r:id="rId28" display="https://www.metlife.fr/assurance-emprunteur/pret-professionnel/financement-hotel/"/>
    <hyperlink ref="F34" r:id="rId29" display="https://www.cafpi.fr/pret-professionnel/murs-professionnels/financement-fonds-de-commerce-tout-ce-qu-il-faut-savoir"/>
    <hyperlink ref="F35" r:id="rId30" display="https://entreprendre.service-public.gouv.fr/vosdroits/F23575"/>
    <hyperlink ref="F36" r:id="rId31" display="https://entreprendre.service-public.gouv.fr/vosdroits/F37288"/>
    <hyperlink ref="F37" r:id="rId32" display="https://www.justice.fr/fiche/taux-tva-produits-alimentaires-boissons"/>
    <hyperlink ref="F38" r:id="rId33" display="https://www.entreprises.gouv.fr/fr/tourisme/conseils-strategie/chambres-d-hotes"/>
    <hyperlink ref="F39" r:id="rId34" display="https://www.economie.gouv.fr/dgccrf/les-fiches-pratiques-et-les-faq/chambres-dhotes-quelle-est-la-reglementation-applicable"/>
    <hyperlink ref="F40" r:id="rId35" display="https://www.autoentrepreneur.urssaf.fr/portail/accueil/sinformer-sur-le-statut/lessentiel-du-statut.html"/>
    <hyperlink ref="F41" r:id="rId36" display="https://entreprendre.service-public.gouv.fr/vosdroits/F22379"/>
    <hyperlink ref="F42" r:id="rId37" display="https://www.ghr.fr/reglementation-fiscalite/les-obligations-dans-les-hotels/la-procedure-de-classement-des-hotels-de-tourisme"/>
    <hyperlink ref="F43" r:id="rId38" display="https://www.keobiz.fr/fiches-pratiques/ouvrir-restaurant-hotel/normes-erp-incendie-accessibilite/"/>
    <hyperlink ref="F44" r:id="rId39" display="https://www.economie.gouv.fr/entreprises/gerer-sa-fiscalite-et-ses-impots/autres-impots-et-taxes/taxe-de-sejour-quelles-sont-les"/>
    <hyperlink ref="F45" r:id="rId40" display="https://bpifrance-creation.fr/moment-de-vie/garanties-bancaires-quoi-sagit-il"/>
    <hyperlink ref="F46" r:id="rId41" display="https://bpifrance-creation.fr/encyclopedie/financements/dispositifs-garantie/garanties-bancaires-proposees-france-active"/>
    <hyperlink ref="F47" r:id="rId42" display="https://les-aides.fr/aide/cGU_3w/siagi/garantie-au-cas-par-cas-etude-personnalisee.html"/>
    <hyperlink ref="F48" r:id="rId43" display="https://les-aides.fr/aide/dFVvIEwMDA6P/bpifrance/pret-tourisme-3.html"/>
    <hyperlink ref="F49" r:id="rId44" display="https://les-aides.fr/aide/EBN_ICwMDA6P/bpifrance/garantie-transmission.html"/>
    <hyperlink ref="F50" r:id="rId45" display="https://les-aides.fr/aide/YXA_3w/region-bretagne/pass-investissement-entreprises-touristiques-volet-travaux.html"/>
    <hyperlink ref="F51" r:id="rId46" display="https://adnormandie.fr/wp-content/uploads/2025/11/REGLEMENT-IMP-DEVELOPPEMENT-.pdf"/>
    <hyperlink ref="F52" r:id="rId47" display="https://les-aides.fr/aide/cCGP3w/region-des-pays-de-la-loire/agir-tourisme.html"/>
    <hyperlink ref="F53" r:id="rId48" display="https://les-aides.fr/aide/RjNf3w/region-nouvelle-aquitaine/aide-a-l-hotellerie-independante.html"/>
    <hyperlink ref="F54" r:id="rId49" display="https://www.realestate.bnpparibas.fr/media/france/2026-09/REVIEW%20HOTELLERIE%20-%20T2%202026_FR.pdf"/>
    <hyperlink ref="F55" r:id="rId50" display="https://www.ecb.europa.eu/press/pr/date/2026/html/ecb.mp260910~314e508016.en.html"/>
    <hyperlink ref="F56" r:id="rId51" display="https://www.banque-france.fr/fr/statistiques/entreprises/defaillances-dentreprises-2026-07"/>
    <hyperlink ref="F57" r:id="rId52" display="https://www.metlife.fr/assurance-emprunteur/pret-professionnel/que-regarde-la-banque/"/>
    <hyperlink ref="F58" r:id="rId53" display="https://mktgdocs.cbre.com/2299/be26ab5e-2ab1-44ae-95c6-3b706d129436-2109243007/CBRE_Figures_H_tels_France_T1_.pdf"/>
    <hyperlink ref="F59" r:id="rId54" display="https://www.poitiers.cci.fr/wp-content/uploads/2026/05/2026-permis-dexploiter.pdf"/>
    <hyperlink ref="F60" r:id="rId55" display="https://www.quechoisir.org/actualite-immobilier-les-frais-de-notaire-augmentent-dans-l-ancien-n167712/"/>
    <hyperlink ref="F61" r:id="rId56" display="https://www.pointdevente.fr/fr/actualites/les-frais-caches-lors-de-l-achat-d-un-fonds-de-commerce-a658"/>
    <hyperlink ref="F62" r:id="rId57" display="https://www.pap.fr/vendeur/vendre-sans-agence/vente-immobiliere-les-frais-d-agence-qui-paie-quand-et-combien/a23282"/>
    <hyperlink ref="F63" r:id="rId58" display="https://www.economie.gouv.fr/dgccrf/les-fiches-pratiques/lagent-immobilier-les-regles-qui-encadrent-la-profession"/>
    <hyperlink ref="F64" r:id="rId59" display="https://bpifrance-creation.fr/encyclopedie/fiscalite-lentreprise/fiscalite-transmissionreprise/droits-denregistrement-cas-reprise"/>
    <hyperlink ref="F65" r:id="rId60" display="https://www.service-public.gouv.fr/particuliers/vosdroits/F17701"/>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2026-10-11T22:41:39Z</dcterms:created>
  <dc:creator>openpyxl</dc:creator>
  <dc:description/>
  <dc:language>en-US</dc:language>
  <cp:lastModifiedBy/>
  <dcterms:modified xsi:type="dcterms:W3CDTF">2026-10-11T22:41:39Z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